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询价表（定）" sheetId="1" r:id="rId1"/>
  </sheets>
  <definedNames>
    <definedName name="_xlnm.Print_Titles" localSheetId="0">'询价表（定）'!$1:$6</definedName>
    <definedName name="_xlnm.Print_Area" localSheetId="0">'询价表（定）'!$A$1:$J$183</definedName>
  </definedNames>
  <calcPr calcId="144525" fullCalcOnLoad="1"/>
</workbook>
</file>

<file path=xl/sharedStrings.xml><?xml version="1.0" encoding="utf-8"?>
<sst xmlns="http://schemas.openxmlformats.org/spreadsheetml/2006/main" count="1610" uniqueCount="735">
  <si>
    <t>建设工程项目主材设备市场询价清单备案表</t>
  </si>
  <si>
    <t>序
号</t>
  </si>
  <si>
    <t>名称</t>
  </si>
  <si>
    <t>基本配置技术参数</t>
  </si>
  <si>
    <t>单
位</t>
  </si>
  <si>
    <t>数量</t>
  </si>
  <si>
    <t>不含税单价(元)</t>
  </si>
  <si>
    <t>不含税总价(元)</t>
  </si>
  <si>
    <t>备注</t>
  </si>
  <si>
    <t>报审价</t>
  </si>
  <si>
    <t>询价</t>
  </si>
  <si>
    <t>空气处理机组PAU-401</t>
  </si>
  <si>
    <t>风量：3500m3/h，机外余压350Pa，冷量54.7kw，总电功率11.5kw，过滤段：初效（G4）</t>
  </si>
  <si>
    <t>台</t>
  </si>
  <si>
    <t xml:space="preserve">厂商询价
</t>
  </si>
  <si>
    <t>空气处理机组PAU-402</t>
  </si>
  <si>
    <t>风量：7000m3/h，机外余压350Pa，冷量108.9kw，总电功率11.5kw，过滤段：初效（G4）</t>
  </si>
  <si>
    <t>厂商询价</t>
  </si>
  <si>
    <t>空气处理机组PAU-501</t>
  </si>
  <si>
    <t>风量：7650m3/h，机外余压650Pa，冷量135kw，总电功率34.5kw，过滤段：初效（G4），中效（F8），亚高效（H10）</t>
  </si>
  <si>
    <t>空气处理机组AHU-501</t>
  </si>
  <si>
    <t>风量：11400m3/h，新风量：1300m3/h，机外余压：650Pa，冷量35kw，总电功率41.2kw，过滤段：初效（G4），中效（F8）</t>
  </si>
  <si>
    <t>空气处理机组AHU-502</t>
  </si>
  <si>
    <t>风量：3700m3/h，新风量：800m3/h，机外余压：650Pa，冷量12kw，总电功率18kw，过滤段：初效（G4），中效（F8）</t>
  </si>
  <si>
    <t>空气处理机组AHU-503、AHU-504</t>
  </si>
  <si>
    <t>风量：10000m3/h，新风量：1000m3/h，机外余压：650Pa，冷量30kw，总电功率36kw，过滤段：初效（G4），中效（F8）</t>
  </si>
  <si>
    <t>空气处理机组AHU-505</t>
  </si>
  <si>
    <t>风量：2600m3/h，新风量：800m3/h，机外余压：650Pa，冷量8kw，总电功率15kw，过滤段：初效（G4），中效（F8）</t>
  </si>
  <si>
    <t>空气处理机组AHU-506</t>
  </si>
  <si>
    <t>风量：8900m3/h，新风量：2750m3/h，机外余压：650Pa，冷量28kw，总电功率44.3kw，过滤段：初效（G4），中效（F8）</t>
  </si>
  <si>
    <t>空气处理机组OA-501、OA-502</t>
  </si>
  <si>
    <t>额定风量:7000m3/h，全压:300Pa，功率:6KW，电预热：16.5KW</t>
  </si>
  <si>
    <t>空气处理机组OA-503</t>
  </si>
  <si>
    <t>额定风量:1200m3/h，全压:200Pa，功率:1.1KW，电预热：3KW</t>
  </si>
  <si>
    <t>空气处理机组OA-601、OA-602</t>
  </si>
  <si>
    <t>额定风量:2000m3/h，全压:300Pa，功率:3KW，电预热：4.6KW</t>
  </si>
  <si>
    <t>空气处理机组OA-701</t>
  </si>
  <si>
    <t>额定风量:1200m3/h，全压:300Pa，功率:2KW，电预热：2.8KW</t>
  </si>
  <si>
    <t>空气处理机组OA-702</t>
  </si>
  <si>
    <t>额定风量:3000m3/h，全压:300Pa，功率:3.5KW，电预热：7.0KW</t>
  </si>
  <si>
    <t>空气处理机组OA-801、OA-802</t>
  </si>
  <si>
    <t>额定风量:2300m3/h，全压:300Pa，功率:3KW，电预热：5.3KW</t>
  </si>
  <si>
    <t>风冷螺杆式冷(热)水机组</t>
  </si>
  <si>
    <t>制冷量：353kW，制热量：386kW，水量：61m3/h，功率：117kW，制冷工况：进出水温：12/7℃,环境干球温度35℃，制热工况：进出水温：40/45℃,环境干/湿球温度7/6℃</t>
  </si>
  <si>
    <t>风机盘管FP-34</t>
  </si>
  <si>
    <t>两管制 送风量：340m3/h，机外余压：30Pa，离心式风机，制冷量：2.35KW，制热量：2.9KW，功率：42W</t>
  </si>
  <si>
    <t>风机盘管FP-51</t>
  </si>
  <si>
    <t>两管制 送风量：510m3/h，机外余压：30Pa，离心式风机，制冷量：3.2KW，制热量：5.1KW，功率：55W</t>
  </si>
  <si>
    <t>风机盘管FP-68</t>
  </si>
  <si>
    <t>两管制 送风量：680m3/h，机外余压：30Pa，离心式风机，制冷量：4.2KW，制热量：6.8KW，功率：71W</t>
  </si>
  <si>
    <t>风机盘管FP-85</t>
  </si>
  <si>
    <t>两管制 送风量：850m3/h，机外余压：30Pa，离心式风机，制冷量：5.3KW，制热量：8.5KW，功率：87W</t>
  </si>
  <si>
    <t>风机盘管FP-102</t>
  </si>
  <si>
    <t>两管制 送风量：1020m3/h，机外余压：30Pa，离心式风机，制冷量：6.1KW，制热量：10.5KW，功率：108W</t>
  </si>
  <si>
    <t>风机盘管FP-136</t>
  </si>
  <si>
    <t>两管制 送风量：1360m3/h，机外余压：30Pa，离心式风机，制冷量：11.7KW，制热量：13.7KW，功率：151W</t>
  </si>
  <si>
    <t>分体式空调机</t>
  </si>
  <si>
    <t>1.5P 制冷量：3.6KW，制热量：4.7KW，功率：1.75KW</t>
  </si>
  <si>
    <t>慧讯网</t>
  </si>
  <si>
    <t>2P 制冷量：5.2KW，制热量：5.65KW，功率：1.65KW</t>
  </si>
  <si>
    <t>风机盘管温控面板</t>
  </si>
  <si>
    <t>液晶面板</t>
  </si>
  <si>
    <t xml:space="preserve">建材在线
</t>
  </si>
  <si>
    <t>吸顶式消毒机 T1000</t>
  </si>
  <si>
    <t>循环风量：1000m3/h，净化效率：≥98%， 菌落数≤200cfu/m3</t>
  </si>
  <si>
    <t>吸顶式消毒机 T600</t>
  </si>
  <si>
    <t>循环风量：600m3/h，净化效率：≥99.8%， 菌落数≤200cfu/m3</t>
  </si>
  <si>
    <t>I级层流送风天花</t>
  </si>
  <si>
    <t>L2600×W2400×H500 电解板外框、表面静电喷涂 含高效过滤器</t>
  </si>
  <si>
    <t>Ⅱ级层流送风天花</t>
  </si>
  <si>
    <t>L2600×W1800×H500 电解板外框、表面静电喷涂 含高效过滤器</t>
  </si>
  <si>
    <t>定风量阀</t>
  </si>
  <si>
    <t>320*200</t>
  </si>
  <si>
    <t>个</t>
  </si>
  <si>
    <t>320*250</t>
  </si>
  <si>
    <t>320*500</t>
  </si>
  <si>
    <t>400*320</t>
  </si>
  <si>
    <t>空调循环水泵</t>
  </si>
  <si>
    <t>流量154m3/h,扬程28m,功率22kW,工作压力1.0MPa</t>
  </si>
  <si>
    <t>膨胀水箱</t>
  </si>
  <si>
    <t>1.2m*1.2m*1.4m 不锈钢304</t>
  </si>
  <si>
    <t>离心式静音风机</t>
  </si>
  <si>
    <t>风量：1300m3/h，机外余压：400Pa，功率：500W</t>
  </si>
  <si>
    <t>风量：2100m3/h，机外余压：450Pa，功率：500W</t>
  </si>
  <si>
    <t>风量：1500m3/h，机外余压：380Pa，功率：320W</t>
  </si>
  <si>
    <t>风量：770m3/h，机外余压：200Pa，功率：135W</t>
  </si>
  <si>
    <t>防爆风机</t>
  </si>
  <si>
    <t>风量：300m3/h，机外余压：200Pa，功率：55W</t>
  </si>
  <si>
    <t>风量：350m3/h，机外余压：240Pa，功率：55W</t>
  </si>
  <si>
    <t>风量：600m3/h，机外余压：240Pa，功率：200W</t>
  </si>
  <si>
    <t>风量：1200m3/h，机外余压：240Pa，功率：280W</t>
  </si>
  <si>
    <t>风量：200m3/h，机外余压：200Pa，功率：40W</t>
  </si>
  <si>
    <t>风量：400m3/h，机外余压：200Pa，功率：80W</t>
  </si>
  <si>
    <t>防爆型墙壁式轴流风机</t>
  </si>
  <si>
    <t>风量：350m3/h，机外余压：25Pa，功率：25W</t>
  </si>
  <si>
    <t>UPS不间断电源</t>
  </si>
  <si>
    <t>380V/380V,60kVA,电池持续供电30min 含主机、电池、机柜</t>
  </si>
  <si>
    <t>套</t>
  </si>
  <si>
    <t>380V/380V,40kVA,电池持续供电30min 含主机、电池、机柜</t>
  </si>
  <si>
    <t>在线式UPS</t>
  </si>
  <si>
    <t>AC380V,160kVA,电池持续供电30min 含主机、电池、机柜</t>
  </si>
  <si>
    <t>医用单相隔离变压器</t>
  </si>
  <si>
    <t>容量：10KVA（包含绝缘监视仪、电流互感器、仪器专用电源、外接报警测试和显示仪）</t>
  </si>
  <si>
    <t>LED吸顶洁净气密封灯</t>
  </si>
  <si>
    <t>300×1200mm 36W（带应急）</t>
  </si>
  <si>
    <t>300×1200mm 36W</t>
  </si>
  <si>
    <t>600×600mm 36W（带应急）</t>
  </si>
  <si>
    <t>600×600mm 36W</t>
  </si>
  <si>
    <t>300×300mm 36W</t>
  </si>
  <si>
    <t>手术室洁净密封灯盘</t>
  </si>
  <si>
    <t>嵌入式LED灯，手术室专用</t>
  </si>
  <si>
    <t>电话交换机</t>
  </si>
  <si>
    <t>4外线16内线</t>
  </si>
  <si>
    <t>4外线24内线</t>
  </si>
  <si>
    <t>网络交换机</t>
  </si>
  <si>
    <t>48口，千兆，非网管型</t>
  </si>
  <si>
    <t>双门门禁控制器</t>
  </si>
  <si>
    <t>双门电磁锁</t>
  </si>
  <si>
    <t>开门按钮</t>
  </si>
  <si>
    <t>门禁读卡器</t>
  </si>
  <si>
    <t>控制器专用电源</t>
  </si>
  <si>
    <t>半球型网络摄像机</t>
  </si>
  <si>
    <t>200万1/2.7”CMOS ICR日夜型半球型网络摄像机；镜头 2.7-12mm</t>
  </si>
  <si>
    <t>全球型网络摄像机</t>
  </si>
  <si>
    <t>日夜型全球网络摄像机</t>
  </si>
  <si>
    <t>机柜</t>
  </si>
  <si>
    <t>1.5米</t>
  </si>
  <si>
    <t>1.8米</t>
  </si>
  <si>
    <t>数字硬盘录像机</t>
  </si>
  <si>
    <t>32路，DS-8632N-I16</t>
  </si>
  <si>
    <t>64路，DS-8616N-pu</t>
  </si>
  <si>
    <t>硬盘</t>
  </si>
  <si>
    <t>4TB/64MB/5900RPM/SATA3</t>
  </si>
  <si>
    <t>液晶显示器</t>
  </si>
  <si>
    <t>21.5寸</t>
  </si>
  <si>
    <t>专用监视器</t>
  </si>
  <si>
    <t>22寸金属外观；LED背光；物理分辨率1920×1080P；亮度500cd/㎡；对比度4000:1，功耗：≤35W;</t>
  </si>
  <si>
    <t>DVD播放器</t>
  </si>
  <si>
    <t>报警信号发生器</t>
  </si>
  <si>
    <t>建材在线</t>
  </si>
  <si>
    <t>话筒</t>
  </si>
  <si>
    <t>带钟声话筒</t>
  </si>
  <si>
    <t>矩阵</t>
  </si>
  <si>
    <t>十分区矩阵</t>
  </si>
  <si>
    <t>天花吸顶喇叭</t>
  </si>
  <si>
    <t>3/6W，70/100V</t>
  </si>
  <si>
    <t>寻呼器</t>
  </si>
  <si>
    <t>分区寻呼器</t>
  </si>
  <si>
    <t>一体化广播中心</t>
  </si>
  <si>
    <t>音量控制器</t>
  </si>
  <si>
    <t>医用智能传呼主机</t>
  </si>
  <si>
    <t>医用智能传呼分机</t>
  </si>
  <si>
    <t>不锈钢污洗池（单槽）</t>
  </si>
  <si>
    <t>L1200*W600*H800 全304不锈钢材质，板材厚度1.2mm 配不锈钢鹅颈水龙头</t>
  </si>
  <si>
    <t>组</t>
  </si>
  <si>
    <t>不锈钢污洗池（双槽）</t>
  </si>
  <si>
    <t>L1500*W600*H800 全304不锈钢材质，板材厚度1.2mm 配不锈钢鹅颈水龙头</t>
  </si>
  <si>
    <t>单人位洗手槽</t>
  </si>
  <si>
    <t>304不锈钢 L×H×D为800mm×1800mm×600mm 每台洗手池配置感应水龙头、感应皂液器和消毒液器，独立背镜、镜前灯</t>
  </si>
  <si>
    <t>两人位洗手槽</t>
  </si>
  <si>
    <t>304不锈钢 L×H×D为1600mm×1800mm×600mm 每台洗手池配置感应水龙头、感应皂液器和消毒液器，独立背镜、镜前灯</t>
  </si>
  <si>
    <t>三人位洗手槽</t>
  </si>
  <si>
    <t>304不锈钢 L×H×D为2000mm×1800mm×600mm 每台洗手池配置感应水龙头、感应皂液器和消毒液器，独立背镜、镜前灯</t>
  </si>
  <si>
    <t>容积式电加热热水器</t>
  </si>
  <si>
    <t>40升、2.1Kw</t>
  </si>
  <si>
    <t>氧气终端</t>
  </si>
  <si>
    <t>终端流量：大于10L/min 不锈钢 双销锁定，按压解锁 特定元件及插头型式，保证气体绝不混淆 不同气体终端采用不同颜色加以区分</t>
  </si>
  <si>
    <t>铝合金综合治疗带（含侧板）</t>
  </si>
  <si>
    <t>材料壁厚为1.5mm，宽度210mm,厚度72mm 表面采用丙烯酸喷漆工艺处理或静电喷塑处理 内设置气体、强电、弱电三个走线槽 侧板规格:1.5mm 具备省级及以上质量监督检验机构出具的医疗设备带《检验报告》，检验结果须符合GB 9706.1-2007 《医用电气设备 第1部分 安全通用要求》 及GB50751-2012《医用气体工程技术规范》的要求 具有CE认证证书</t>
  </si>
  <si>
    <t>m</t>
  </si>
  <si>
    <t>监视（报警）器</t>
  </si>
  <si>
    <t>不含传感器、采集器</t>
  </si>
  <si>
    <t>三气阀门箱</t>
  </si>
  <si>
    <t>氧气、吸引、空气</t>
  </si>
  <si>
    <t>四气阀门箱</t>
  </si>
  <si>
    <t>氧气、吸引、空气、二氧化碳</t>
  </si>
  <si>
    <t>吸引终端</t>
  </si>
  <si>
    <t>终端流量：大于30L/min 不锈钢 双销锁定，按压解锁 特定元件及插头型式，保证气体绝不混淆 不同气体终端采用不同颜色加以区分</t>
  </si>
  <si>
    <t>空气终端</t>
  </si>
  <si>
    <t>氮气汇流排</t>
  </si>
  <si>
    <t>2*2瓶组</t>
  </si>
  <si>
    <t>二氧化碳汇流排</t>
  </si>
  <si>
    <t>2*3瓶组</t>
  </si>
  <si>
    <t>笑气汇流排</t>
  </si>
  <si>
    <t>二氧化碳终端</t>
  </si>
  <si>
    <t>麻醉废气排放机组</t>
  </si>
  <si>
    <t>双机组，单台抽气量为140m3/h，单台电机功率为0.4KW</t>
  </si>
  <si>
    <t>维修阀</t>
  </si>
  <si>
    <t>TSJ1-10 不锈钢</t>
  </si>
  <si>
    <t>TSJ0.6-8 不锈钢</t>
  </si>
  <si>
    <t>电动二通阀</t>
  </si>
  <si>
    <t>DN20</t>
  </si>
  <si>
    <t>温控器控制柜</t>
  </si>
  <si>
    <t>PAU-401、PAU-402、OA-501、OA-502、OA-503、OA-601、OA-602、OA-701、OA-702、OA-801、OA-802</t>
  </si>
  <si>
    <t>PLC恒温恒湿控制柜</t>
  </si>
  <si>
    <t>PAU-501、AHU-501、AHU-502、AHU-503、AHU-504、AHU-505、AHU-506</t>
  </si>
  <si>
    <t>橡塑保温板B1级</t>
  </si>
  <si>
    <t>m3</t>
  </si>
  <si>
    <t>B1级橡塑保温管</t>
  </si>
  <si>
    <t>四联控制面板</t>
  </si>
  <si>
    <t>1、规格为 663*463*120
2、底箱为冷轧钢板加工，表面喷粉，不锈钢边框。</t>
  </si>
  <si>
    <t>六联控制面板</t>
  </si>
  <si>
    <t>1、规格为 913*513*120
2、底箱为冷轧钢板加工，表面喷粉，不锈钢边框。</t>
  </si>
  <si>
    <t>单联控制面板</t>
  </si>
  <si>
    <t>1、底箱为冷轧钢板加工，表面喷粉，不锈钢边框</t>
  </si>
  <si>
    <t>内嵌式医用气体终端箱（三气）</t>
  </si>
  <si>
    <t>1、名称：内嵌式医用气体终端箱（三气）
2、规格：箱体面板采用1.2mm厚304拉丝不锈钢制作</t>
  </si>
  <si>
    <t>内嵌式医用气体终端箱（七气）</t>
  </si>
  <si>
    <t>1、名称：内嵌式医用气体终端箱（七气）
2、规格：箱体面板采用1.2mm厚304拉丝不锈钢制作</t>
  </si>
  <si>
    <t>四联观片箱</t>
  </si>
  <si>
    <t>1、304不锈钢边框，箱体电解喷涂。看片区滚轴夹片，上下分区调光控制 
2、规格为 700*600*130mm</t>
  </si>
  <si>
    <t>六联观片箱</t>
  </si>
  <si>
    <t>1、304不锈钢边框，箱体电解喷涂。看片区滚轴夹片，上下分区调光控制
2、规格为 1200*600mm</t>
  </si>
  <si>
    <t>微压计</t>
  </si>
  <si>
    <t>同质透心塑胶地板（阿姆斯壮）</t>
  </si>
  <si>
    <t>2mm厚</t>
  </si>
  <si>
    <t>m2</t>
  </si>
  <si>
    <t>橡胶地板（阿姆斯壮）</t>
  </si>
  <si>
    <t>金属面玻镁净化板双面0.526mm</t>
  </si>
  <si>
    <t>50mm厚</t>
  </si>
  <si>
    <t>4:1硫酸钡水泥砂浆</t>
  </si>
  <si>
    <t>1.2mm厚电解钢板 预喷涂</t>
  </si>
  <si>
    <t>12mm石膏板</t>
  </si>
  <si>
    <t>3mm厚铅板</t>
  </si>
  <si>
    <t>2mm厚铅板</t>
  </si>
  <si>
    <t>手动气密封门</t>
  </si>
  <si>
    <t>自动气密封门</t>
  </si>
  <si>
    <t>防辐射自动气密封门+3mm铅板</t>
  </si>
  <si>
    <t>防辐射自动气密封门+2mm铅板</t>
  </si>
  <si>
    <t>防辐射手动气密封门+3mm铅板</t>
  </si>
  <si>
    <t>防辐射手动气密封门+2mm铅板</t>
  </si>
  <si>
    <t>内嵌式不锈钢器械柜、药品柜、麻醉柜、导管柜</t>
  </si>
  <si>
    <t>1、1.2mm厚304不锈钢材料制造
2、规格为 900×1700×350mm</t>
  </si>
  <si>
    <t>书写台</t>
  </si>
  <si>
    <t>1、1.2mm厚304不锈钢材料制造
2、规格为600*400*300mm</t>
  </si>
  <si>
    <t>保温柜</t>
  </si>
  <si>
    <t>1、规格为：595*570*865mm
2、容积：150L</t>
  </si>
  <si>
    <t>不锈钢防撞带</t>
  </si>
  <si>
    <t>1、名称：不锈钢防撞带
2、规格：1.0mm厚不锈钢防撞带；</t>
  </si>
  <si>
    <t>输液导轨</t>
  </si>
  <si>
    <t>I型，每套长度2.6米，含4个吊钩；手术室用</t>
  </si>
  <si>
    <t>传递窗</t>
  </si>
  <si>
    <t>1、1200*500，304不锈钢箱体，内置杀菌灯，带指示灯
2、双门互锁，带气密</t>
  </si>
  <si>
    <t>樘</t>
  </si>
  <si>
    <t>防辐射医用气密观察窗</t>
  </si>
  <si>
    <t>玻璃隔断墙体带百叶</t>
  </si>
  <si>
    <t>1、名称：玻璃隔断墙体
2、含五金配件、门锁、玻璃门；
3、详见大样图；</t>
  </si>
  <si>
    <t>1、600*600，304不锈钢箱体，内置杀菌灯，带指示灯
2、双门互锁，带气密</t>
  </si>
  <si>
    <t>欧陆600*600铝扣板</t>
  </si>
  <si>
    <t>1mm厚</t>
  </si>
  <si>
    <t>12mm抗倍特板隔断</t>
  </si>
  <si>
    <t xml:space="preserve">母钟 </t>
  </si>
  <si>
    <t>网络时间服务器</t>
  </si>
  <si>
    <t>子钟</t>
  </si>
  <si>
    <t>双面</t>
  </si>
  <si>
    <t>无线麦克风</t>
  </si>
  <si>
    <t>一拖二</t>
  </si>
  <si>
    <t>壁挂音箱 MK08</t>
  </si>
  <si>
    <t>调音台</t>
  </si>
  <si>
    <t>主扩功放</t>
  </si>
  <si>
    <t xml:space="preserve"> 后级功放</t>
  </si>
  <si>
    <t>投影仪</t>
  </si>
  <si>
    <t>亮度＞3500流明；对比度＞30000:1</t>
  </si>
  <si>
    <t>电动幕布</t>
  </si>
  <si>
    <t>24口</t>
  </si>
  <si>
    <t>2*5瓶组</t>
  </si>
  <si>
    <t>6mm焦距400W星光级枪机</t>
  </si>
  <si>
    <t>支持绊线入侵，区域入侵
采用高性能400万像素1/1.8英寸CMOS图像传感器
可输出400万(2560×1440)@25fps，最大可输出400万(2688×1520)@20fps
最低照度0.002Lux（彩色模式）；0.0002Lux（黑白模式）；0Lux（补光灯开启）；
定焦镜头，焦距：6mm
支持H.265编码
内置高效红外补光灯，最大红外监控距离50米
支持走廊模式，宽动态，3D降噪，强光抑制，背光补偿，数字水印，适用不同监控环境
支持ROI，SMART H.264/H.265，灵活编码，适用不同带宽和存储环境
支持DC12V供电方式
设备检测到电压低于8.4V或者高于19V时，可在客户端显示图标或者播放报警
提示音进行报警提示
支持IP67防护等级</t>
  </si>
  <si>
    <t>慧讯网                 （税率13%）                 询价                  （已除税）</t>
  </si>
  <si>
    <t>12mm焦距400W星光级枪机</t>
  </si>
  <si>
    <t>采用高性能400万像素1/1.8英寸CMOS图像传感器
可输出400万(2560×1440)@25fps，最大可输出400万(2688×1520)@20fps
最低照度0.002Lux（彩色模式）；0.0002Lux（黑白模式）；0Lux（补光灯开启）；
定焦镜头，焦距：12mm
支持H.265编码
内置高效红外补光灯，最大红外监控距离50米
支持走廊模式，宽动态，3D降噪，强光抑制，背光补偿，数字水印，适用不同监控环境
支持ROI，SMART H.264/H.265，灵活编码，适用不同带宽和存储环境
支持DC12V供电方式
设备检测到电压低于8.4V或者高于19V时，可在客户端显示图标或者播放报警
提示音进行报警提示
支持IP67防护等级</t>
  </si>
  <si>
    <t>8口千兆交换机</t>
  </si>
  <si>
    <t>8个千兆电口非网管交换机，无光口</t>
  </si>
  <si>
    <t>16口千兆交换机</t>
  </si>
  <si>
    <t>16个千兆电口非网管交换机，无光口</t>
  </si>
  <si>
    <t>LED常亮补光灯</t>
  </si>
  <si>
    <t>进口12颗CREE光源，超远补光
支持光敏控制方式，启动阈值30Lux
照射距离可达15米
色温5500-6500K
适应温度-30~70℃； 湿度＜90%的环境应用
支持IP66防护等级
额定功率10W
支持DC12V供电
支持壁装、吊装、面装安装方式</t>
  </si>
  <si>
    <t>存储硬盘</t>
  </si>
  <si>
    <t>6000G；5400RPM；256M；SATA</t>
  </si>
  <si>
    <t>块</t>
  </si>
  <si>
    <t>600mm×1200mm×600mm，黑色，落地</t>
  </si>
  <si>
    <t>理线架</t>
  </si>
  <si>
    <t>24档</t>
  </si>
  <si>
    <t>摄像机支架</t>
  </si>
  <si>
    <t>尺寸为204.0*58.0*80.0mm
支持最大承重1.0kg
支持壁装安装方式
支持水平：0~360°，竖直：-30°~0°旋转角度范围</t>
  </si>
  <si>
    <t>付</t>
  </si>
  <si>
    <t>64路NVR</t>
  </si>
  <si>
    <t>支持16路报警输入、8路报警输出，支持开关量输入输出模式
支持4个RJ45 10/100/1000Mbps自适应以太网口，支持容错、负载均衡和四网分离
支持2个千兆光口，支持容错、负载均衡和两网分离
支持按时间、按事件等多种方式进行录像的检索、回放、备份，支持图片本地回放与查询；
采用大华协议，可以通过鼠标控制云台转动、放大、定位等操作
支持盘组管理功能，实现视频录像的定向存储
支持4K分屏功能，支持单通道的全屏、1+3和1+5预览分屏模式，Web端支持4K分屏回放
支持走廊模式功能，支持IPC画面旋转90°或270°，成9:16走廊模式
支持自定义分隔，用户可以根据需求设置显示分隔数
支持iSCSI扩展存储功能，支持iSCSI方式对接IP SAN设备，实现扩容存储
支持SmartIPC人脸侦测、场景变更、拌线入侵、区域入侵、物品看护、音频检测、客流统计、热度图等多种智能侦测接入与联动
支持所有IPC实现后智能，支持在NVR 配置拌线入侵、区域入侵、物品看护等多种智能分析，当检测到异常时，进行告警上报并进行联动处理
支持人脸侦测，实现人脸抠图和人脸所在全景图，进行告警上报并进行联动处理，并支持人脸检测录像回放
支持车辆检测，对车牌、车型、车标、颜色、监控地点进行检测，根据黑白名单设置，异常时进行告警上报并进行联动处理，并支持对车牌号进行关联录像回放
支持鱼球联动功能，支持鱼眼摄像机和球机（可支持3个球机）的全景和细节联动
支持视频浓缩播放，根据人脸、车牌、通用行为分析，在选定时间段内提炼成对象化的视频
支持视频质量诊断（条纹干扰、视频偏色、视频噪声、视频虚焦、 视频过曝 ）当检测到视频质量异常时，进行告警上报并进行联动处理</t>
  </si>
  <si>
    <t>墙柜</t>
  </si>
  <si>
    <t>600mm×600mm，黑色</t>
  </si>
  <si>
    <t>网线</t>
  </si>
  <si>
    <t>6类非屏蔽网线</t>
  </si>
  <si>
    <t>箱</t>
  </si>
  <si>
    <t>供电线</t>
  </si>
  <si>
    <t>2*1.0多股铜丝软护套线电源线</t>
  </si>
  <si>
    <t>米</t>
  </si>
  <si>
    <t>PDU电源</t>
  </si>
  <si>
    <t>机柜插座 8位10A 2500W 防雷电源插排</t>
  </si>
  <si>
    <t>摄像机电源</t>
  </si>
  <si>
    <t>DC12V2A电源适配器</t>
  </si>
  <si>
    <t>慧讯网                 （税率3%）                 询价                  （已除税）</t>
  </si>
  <si>
    <t>补光灯电源</t>
  </si>
  <si>
    <t>DC12V2A电源适配器（补光灯不需要电源适配器）</t>
  </si>
  <si>
    <t>显示屏幕</t>
  </si>
  <si>
    <t>4K，75寸，配壁挂支架</t>
  </si>
  <si>
    <t>键鼠套装</t>
  </si>
  <si>
    <t>无线套装</t>
  </si>
  <si>
    <t>高清HDMI线</t>
  </si>
  <si>
    <t>10米</t>
  </si>
  <si>
    <t>根</t>
  </si>
  <si>
    <t>空气开关</t>
  </si>
  <si>
    <t>每栋2个，分别控制东侧内、东侧外、西侧内,西侧外，监控供电、LED补光灯供电</t>
  </si>
  <si>
    <t>空气开关安装导轨卡条</t>
  </si>
  <si>
    <t>厚度1.0mm，原长1M，按机柜宽度切割安装</t>
  </si>
  <si>
    <t>条</t>
  </si>
  <si>
    <t>机器人清淤（机器人清理泥沙混合物淤泥等至地面）</t>
  </si>
  <si>
    <t>暗涵清淤</t>
  </si>
  <si>
    <t>市场询价</t>
  </si>
  <si>
    <t>充气管堵 800mm加强型-高压</t>
  </si>
  <si>
    <t>充气管堵1000mm加强型-高压</t>
  </si>
  <si>
    <t>消毒除臭剂</t>
  </si>
  <si>
    <t>生物复合剂-C 
1、具有CMA资质的检测机构出具的急性吸入性试验、急性经口毒性试验、眼无刺激性试验检测报告，结果无毒无刺激的。（符合《消毒技术规范》2002年版2.3.13.1的安全性要求）
2、提具有CMA资质的检测机构出具的一次完整皮肤刺激试验，结果无刺激性。（符合《消毒技术规范》2002年版2.3.13.1的安全性要求）
3、具有CMA资质的检测机构出具的白色念珠菌的灭杀试验，对白色念珠菌的灭杀对数值≥4.00。（符合《消毒技术规范》2002年版2.3.13.1的安全性要求）
4、具有CMA资质的检测机构出具的枯草杆菌黑色变种芽胞杀灭试验，对枯草杆菌黑色变种芽胞的灭杀对数值≥5.00。（符合《消毒技术规范》2002年版2.3.13.1的安全性要求）
5、具有CMA资质的检测机构出具的大肠杆菌灭杀试验，对大肠杆菌的灭杀对数值各次均≥5.00。（符合《消毒技术规范》2002年版2.3.13.1的安全性要求）
6、具有CMA资质的检测机构出具的金黄色葡萄球菌灭杀试验对金黄色葡萄球菌的灭杀对数值≥5.00。（符合《消毒技术规范》2002年版2.3.13.1的安全性要求）</t>
  </si>
  <si>
    <t>吨</t>
  </si>
  <si>
    <t>市场询价，含税价</t>
  </si>
  <si>
    <t>生物型除臭剂</t>
  </si>
  <si>
    <t>生物复合剂-D 
（1）所投生物型除臭剂主要由枯草芽孢杆菌、乳酸菌等有益菌种组成（注：生物型除臭剂的PH值不大于3.5，活菌总数≥5.8×108cfu/mL，枯草芽孢杆菌≥5.2×108cfu/mL，乳酸菌总数≥0.52×108cfu/mL，沙门氏菌不得检出（需提供封面具有CMA标识的检测报告复印件并加盖制造商公章佐证以上参数，检测报告需体现出以上检测项）。所投生物型除臭剂必须无有害菌群，保质期≥12个月；
（2）皮肤无刺激性试验要求是多次对样品皮肤刺激性试验结果，试验结果为无刺激性（提供具有CMA认证资质检测机构出具的检测报告）；
（3）眼无刺激性试验要求样品对眼刺激试验结果，试验结果为无刺激性（提供具有CMA认证资质检测机构出具的检测报告）；
（4）无毒试验及其急性经口毒性试验LD50（雌、雄）＞5000mg/kg体重，试验结果需无毒、无其他症状反应（提供具有CMA认证资质检测机构出具的检测报告）；
（5）生物型除臭剂对氨气、硫化氢、除臭效率≥85%（提供具有CMA认证资质检测机构出具的检测报告）；
（6）所投生物型除臭剂具有省级质量监督检验部门出具的生物除臭剂产品关于碳钢腐蚀率≤0.1mm/a的检测报告（提供具有CMA认证资质检测机构出具的检测报告）；</t>
  </si>
  <si>
    <t>70℃防火阀200*160</t>
  </si>
  <si>
    <t>市场询价，不含税价</t>
  </si>
  <si>
    <t>70℃防火阀250*120</t>
  </si>
  <si>
    <t>电动防火阀500*250</t>
  </si>
  <si>
    <t>电动防火阀320*200</t>
  </si>
  <si>
    <t>70℃防火阀500*250</t>
  </si>
  <si>
    <t>贴缝胶带 9m</t>
  </si>
  <si>
    <t>卷</t>
  </si>
  <si>
    <t>胶粘剂</t>
  </si>
  <si>
    <t>kg</t>
  </si>
  <si>
    <t>净化气密型LED灯盘600*600</t>
  </si>
  <si>
    <t xml:space="preserve">个 </t>
  </si>
  <si>
    <t>筒灯</t>
  </si>
  <si>
    <t>WDZA-YJY-5*10</t>
  </si>
  <si>
    <t>WDZA-YJY-5*16</t>
  </si>
  <si>
    <t>WDZA-YJY-5*4</t>
  </si>
  <si>
    <t>WDZA-YJY-5*6</t>
  </si>
  <si>
    <t>直流照明控制面板</t>
  </si>
  <si>
    <t>1层MRI双切箱1AT-MRI</t>
  </si>
  <si>
    <t>1层MRI辅助设备双切箱1AT-MRIFZ</t>
  </si>
  <si>
    <t>1层DSA双切箱1AT-DSA</t>
  </si>
  <si>
    <t>1层DSA及CT辅助设备双切箱1AT-FSFZ</t>
  </si>
  <si>
    <t>优质复合吸音板</t>
  </si>
  <si>
    <t>免漆板17mm</t>
  </si>
  <si>
    <t>射频屏蔽体屏蔽模块</t>
  </si>
  <si>
    <t>6mm硅钢板，0.5mm电解铜箔导电网</t>
  </si>
  <si>
    <t>屏蔽门（平开）</t>
  </si>
  <si>
    <t>MRI屏蔽机房标准平开屏蔽门M1221</t>
  </si>
  <si>
    <t>屏蔽窗1500*1000</t>
  </si>
  <si>
    <t>双层斜拉式紫铜网抗干扰纹结构；双侧高透视率白玻璃</t>
  </si>
  <si>
    <t>硫酸钡、水泥比4：1</t>
  </si>
  <si>
    <t>钡含量85%,目数2000</t>
  </si>
  <si>
    <t>不锈钢防护电动平移铅门</t>
  </si>
  <si>
    <t>不锈钢防护平开铅门（手动）</t>
  </si>
  <si>
    <t>铅玻璃窗</t>
  </si>
  <si>
    <t>玻璃厚度20mm，4.5mmpb防辐射；1270*870</t>
  </si>
  <si>
    <t>50mm岩棉中空玻镁夹心彩钢板</t>
  </si>
  <si>
    <t>参中医院</t>
  </si>
  <si>
    <t>PVC医院卷材踢脚100mm</t>
  </si>
  <si>
    <t>2mm同质透芯PVC卷材</t>
  </si>
  <si>
    <t>PVC板(3MM）</t>
  </si>
  <si>
    <t>合力报价</t>
  </si>
  <si>
    <t>DSA直膨式净化空调循环调机组AHU-1F-1</t>
  </si>
  <si>
    <t>组合式空调机组AHU-1F-2</t>
  </si>
  <si>
    <t>循环机组AHU-OR-401</t>
  </si>
  <si>
    <t>2.规格:4240m3/h，制冷量13KW，制热量10KW
3.机械循环四管制
4.含混合段、风机段、均流段、初、中效过滤段(G4、F8)、表冷段、加热段、加湿段、送风段、灭菌装置</t>
  </si>
  <si>
    <t>循环机组AHU-OR-402</t>
  </si>
  <si>
    <t>2.规格:5500m3/h，制冷量17KW，制热量13KW
3.机械循环四管制
4.含混合段、风机段、均流段、初、中效过滤段(G4、F8)、表冷段、加热段、加湿段、送风段、灭菌装置</t>
  </si>
  <si>
    <t>循环机组AHU-OR-403</t>
  </si>
  <si>
    <t>2.规格:5410m3/h，制冷量16KW，制热量13KW
3.机械循环四管制
4.含混合段、风机段、均流段、初、中效过滤段(G4、F8)、表冷段、加热段、加湿段、送风段、灭菌装置</t>
  </si>
  <si>
    <t>循环机组AHU-OR-404</t>
  </si>
  <si>
    <t>2.规格:4100m3/h，制冷量12KW，制热量9KW
3.机械循环四管制
4.含混合段、风机段、均流段、初、中效过滤段(G4、F8)、表冷段、加热段、加湿段、送风段、灭菌装置</t>
  </si>
  <si>
    <t>循环机组AHU-OR-407</t>
  </si>
  <si>
    <t>2.规格:10000m3/h，制冷量28KW，制热量21KW
3.机械循环四管制
4.含混合段、风机段、均流段、初、中效过滤段(G4、F8)、表冷段、加热段、加湿段、送风段、灭菌装置</t>
  </si>
  <si>
    <t>循环机组AHU-OR-412</t>
  </si>
  <si>
    <t>2.规格:1940m3/h，制冷量6KW，制热量5KW
3.机械循环四管制
4.含混合段、风机段、均流段、初、中效过滤段(G4、F8)、表冷段、加热段、加湿段、送风段、灭菌装置</t>
  </si>
  <si>
    <t>循环机组AHU-OR-413</t>
  </si>
  <si>
    <t>2.规格:10790m3/h，制冷量32KW，制热量25KW
3.机械循环四管制
4.含混合段、风机段、均流段、初、中效过滤段(G4、F8)、表冷段、加热段、加湿段、送风段、灭菌装置</t>
  </si>
  <si>
    <t>循环机组AHU-OR-414</t>
  </si>
  <si>
    <t>2.规格:12120m3/h，制冷量34KW，制热量26KW
3.机械循环四管制
4.含混合段、风机段、均流段、初、中效过滤段(G4、F8)、表冷段、加热段、加湿段、送风段、灭菌装置</t>
  </si>
  <si>
    <t>循环机组AHU-OR-415</t>
  </si>
  <si>
    <t>2.规格:11690m3/h，制冷量35KW，制热量27KW
3.机械循环四管制
4.含混合段、风机段、均流段、初、中效过滤段(G4、F8)、表冷段、加热段、加湿段、送风段、灭菌装置</t>
  </si>
  <si>
    <t>新风机组XF-OR-416</t>
  </si>
  <si>
    <t>2.规格:2600m3/h，制冷量62KW，制热量38KW
3.机械循环四管制
4.含混合段、风机段、均流段、初、中效过滤段(G4、F8)、表冷段、加热段、加湿段、送风段、灭菌装置</t>
  </si>
  <si>
    <t>新风机组PAU-OR-401</t>
  </si>
  <si>
    <t>2.规格:7450m3/h，制冷量177KW，制热量71KW
3.机械循环四管制
4.含风机段、均流段、初、中、亚高效过滤段(G4、F8、H11)、表冷段、加热段、深度除湿段、送风段、灭菌装置</t>
  </si>
  <si>
    <t>新风机组PAU-OR-402</t>
  </si>
  <si>
    <t>2.规格:6260m3/h，制冷量151KW，制热量60KW
3.机械循环四管制
4.含风机段、均流段、初、中、亚高效过滤段(G4、F8、H11)、表冷段、加热段、深度除湿段、送风段、灭菌装置</t>
  </si>
  <si>
    <t>新风机组PAU-OR-403</t>
  </si>
  <si>
    <t>2.规格:4300m3/h，制冷量104KW，制热量42KW
3.机械循环四管制
4.含风机段、均流段、初、中、亚高效过滤段(G4、F8、H11)、表冷段、加热段、深度除湿段、送风段、灭菌装置</t>
  </si>
  <si>
    <t>新风机组PAU-OR-404</t>
  </si>
  <si>
    <t>2.规格:5620m3/h，制冷量134KW，制热量53KW
3.机械循环四管制
4.含风机段、均流段、初、中、亚高效过滤段(G4、F8、H11)、表冷段、加热段、深度除湿段、送风段、灭菌装置</t>
  </si>
  <si>
    <t>新风机组XF-OR-401</t>
  </si>
  <si>
    <t>2.规格:7600m3/h，制冷量119KW，制热量71KW
3.机械循环二管制
4.含风机段、均流段、初、中效过滤段(G4、F8)、表冷加热段、送风段、灭菌装置</t>
  </si>
  <si>
    <t>循环机组AHU-NICU-401</t>
  </si>
  <si>
    <t>2.规格:13900m3/h，制冷量173KW，制热量104KW
3.机械循环二管制
4.含混合段、风机段、均流段、初、中效过滤段(G4、F8)、表冷段、加热段、加湿段、送风段、灭菌装置</t>
  </si>
  <si>
    <t>新风机组XF-NICU-401</t>
  </si>
  <si>
    <t>2.规格:4200m3/h，制冷量66KW，制热量39KW
3.机械循环二管制
4.含风机段、均流段、初、中效过滤段(G4、F8)表冷加热段、送风段、灭菌装置</t>
  </si>
  <si>
    <t>净化机组恒温恒湿控制柜</t>
  </si>
  <si>
    <t>1.对系统的温度、湿度实现全自动控制
2.含变频器、控制面板、电动三通阀等</t>
  </si>
  <si>
    <t>参考中医院净化工程</t>
  </si>
  <si>
    <t>分体式柜式空调</t>
  </si>
  <si>
    <t>1.规格：5匹
2.单冷型
3.独立控制，含室外机</t>
  </si>
  <si>
    <t>快速升降温装置</t>
  </si>
  <si>
    <t>制冷量36KW，制热量45KW，含自控</t>
  </si>
  <si>
    <t>压差显示装置</t>
  </si>
  <si>
    <t>数码显示，-20Pa~20Pa</t>
  </si>
  <si>
    <t>中央监控系统</t>
  </si>
  <si>
    <t>含软件二次开发、电脑、打印机等</t>
  </si>
  <si>
    <t>电极式加湿器</t>
  </si>
  <si>
    <t>1.加湿形式：电热式
2.规格：加湿量 10kg/h</t>
  </si>
  <si>
    <t>1.加湿形式：电热式
2.规格：加湿量 16kg/h</t>
  </si>
  <si>
    <t>1.加湿形式：电热式
2.规格：加湿量 30kg/h</t>
  </si>
  <si>
    <t>1.加湿形式：电热式
2.规格：加湿量 40kg/h</t>
  </si>
  <si>
    <t>1.加湿形式：电热式
2.规格：加湿量 60kg/h</t>
  </si>
  <si>
    <t>天花板送风装置</t>
  </si>
  <si>
    <t>1.使用区域：I级手术室
2.规格：OPL2.4/2.6
3.含高效过滤器</t>
  </si>
  <si>
    <t>1.使用区域：II级手术室
2.规格：OPL1.8/2.6
3.含高效过滤器</t>
  </si>
  <si>
    <t>1.使用区域：III级手术室
2.规格：OPL1.4/2.6
3.含高效过滤器</t>
  </si>
  <si>
    <t>不锈钢洗手池</t>
  </si>
  <si>
    <t>1.材质：采用304不锈钢制造
2.规格、类型：L×H×D为800mm×1800mm×600mm（单人位）
3.附件名称、数量：每台洗手池配置电热水器、应出水龙头、感应皂液器和消毒液器，独立背镜、镜前灯等</t>
  </si>
  <si>
    <t>不锈钢三人刷手池</t>
  </si>
  <si>
    <t>1.材质：采用304不锈钢制造
2.规格、类型：L×H×D为2000mm×1800mm×600mm（三人位）
3.附件名称、数量：每台洗手池配置感应出水龙头、感应皂液器和消毒液器，独立背镜、镜前灯等</t>
  </si>
  <si>
    <t>不锈钢二人刷手池</t>
  </si>
  <si>
    <t>1.材质：采用304不锈钢制造
2.规格、类型：L×H×D为1600mm×1800mm×600mm（两人位）
3.附件名称、数量：每台洗手池配置感应出水龙头、感应皂液器和消毒液器，独立背镜、镜前灯等</t>
  </si>
  <si>
    <t>高效洁净送风口</t>
  </si>
  <si>
    <t>2.规格：500m3/h
3.含H13高效过滤器(四件套)</t>
  </si>
  <si>
    <t>2.规格：1000m3/h
3.含H13高效过滤器(四件套)</t>
  </si>
  <si>
    <t>2.规格：688-1366m3/h
3.型号：RSV-CAVC-R/250</t>
  </si>
  <si>
    <t>2.规格：864-2087m3/h
3.型号：RSV-CAVC-R/300</t>
  </si>
  <si>
    <t>2.规格：1350－2800m3/h
3.型号：RSV-CAVC-R/350</t>
  </si>
  <si>
    <t>2.规格：1612－3662m3/h
3.型号：RSV-CAVC-R/400</t>
  </si>
  <si>
    <t>静音型排风机</t>
  </si>
  <si>
    <t>300m3/h，250Pa，0.12KW</t>
  </si>
  <si>
    <t>300m3/h，450Pa，0.12KW</t>
  </si>
  <si>
    <t>600m3/h，250Pa，0.23KW</t>
  </si>
  <si>
    <t>1000m3/h，250Pa，0.23KW</t>
  </si>
  <si>
    <t>1000m3/h，450Pa，1.2KW</t>
  </si>
  <si>
    <t>防爆排风机</t>
  </si>
  <si>
    <t>900m3/h，250Pa，0.64KW</t>
  </si>
  <si>
    <t>空气加热器(冷却器）</t>
  </si>
  <si>
    <t>1.材质：PTC电加热
2.规格：12KW</t>
  </si>
  <si>
    <t>1.材质：PTC电加热
2.规格：15KW</t>
  </si>
  <si>
    <t>1.材质：PTC电加热
2.规格：18KW</t>
  </si>
  <si>
    <t>1.材质：PTC电加热
2.规格：24KW</t>
  </si>
  <si>
    <t>送风量：510m3/h，机外余压：50Pa，制冷量：2.7KW，制热量：4.0KW，功率：55W</t>
  </si>
  <si>
    <t>送风量：680m3/h，机外余压：50Pa，制冷量：3.6KW，制热量：5.4KW，功率：69W</t>
  </si>
  <si>
    <t>送风量：850m3/h，机外余压：50Pa，制冷量：4.5KW，制热量：6.7KW，功率：87W</t>
  </si>
  <si>
    <t>风冷螺杆冷水(热泵)机组</t>
  </si>
  <si>
    <t>制冷量506KW，制热量495KW，功率157KW，运行重量4600KG</t>
  </si>
  <si>
    <t>冷水水泵</t>
  </si>
  <si>
    <t>流量100m3/h,扬程32m,功率22kW</t>
  </si>
  <si>
    <t>热水水泵</t>
  </si>
  <si>
    <t>流量100m3/h,扬程32m,功率15kW</t>
  </si>
  <si>
    <t>1.规格：1m3
2.材质：不锈钢</t>
  </si>
  <si>
    <t>电子除垢仪</t>
  </si>
  <si>
    <t>DN150</t>
  </si>
  <si>
    <t>DN200</t>
  </si>
  <si>
    <t>压差旁通阀</t>
  </si>
  <si>
    <t>DN100</t>
  </si>
  <si>
    <t>DN125</t>
  </si>
  <si>
    <t>容量：8KVA（包含绝缘监视仪、电流互感器、仪器专用电源、外接报警测试和显示仪）</t>
  </si>
  <si>
    <t>容量：10KVA（包含绝缘监视仪、电流互感器）</t>
  </si>
  <si>
    <t>UPS主机</t>
  </si>
  <si>
    <t>120KVA,含主机、电池、机柜；30分钟</t>
  </si>
  <si>
    <t>40KVA,含主机、电池、机柜；30分钟</t>
  </si>
  <si>
    <t>LED洁净气密封灯</t>
  </si>
  <si>
    <t>1.外观尺寸：600×600mm
2.功率：36W</t>
  </si>
  <si>
    <t>1.外观尺寸：600×600mm
2.功率：36W（带应急）</t>
  </si>
  <si>
    <t>1.外观尺寸：1200×300mm
2.功率：48W</t>
  </si>
  <si>
    <t>1.外观尺寸：1200×300mm
2.功率：48W（带应急）</t>
  </si>
  <si>
    <t>手术室控制面板</t>
  </si>
  <si>
    <t>尺寸:900mm*540mm，
面框为1.2mm304不锈钢拉丝板制作，本体冷板喷塑，含控制面板</t>
  </si>
  <si>
    <t>医气面板</t>
  </si>
  <si>
    <t>面框为1.2mm304不锈钢拉丝板制作，本体为冷板喷塑制作，不含终端</t>
  </si>
  <si>
    <t>组合插座箱</t>
  </si>
  <si>
    <t>DY-A 组合插座箱A (4x220V)，尺寸:900mm*250mm，面框为1.2mm304不锈钢拉丝板制作，本体为冷板喷塑制作，含插座</t>
  </si>
  <si>
    <t>DY-B 组合插座箱B(3x220V+1x380V），尺寸:900mm*250mm，面框为1.2mm304不锈钢拉丝板制作，本体为冷板喷塑制作，含插座</t>
  </si>
  <si>
    <t>4联观片灯</t>
  </si>
  <si>
    <t>4GPD观片灯，尺寸:700~1000mm*900~1100mm，面框为1.2mm304不锈钢拉丝板制作，本体为冷板喷塑制作，含光源LED灯管</t>
  </si>
  <si>
    <t>带前置/6分区功放</t>
  </si>
  <si>
    <t>1.规格参数：60W
2.参考型号：MP210P</t>
  </si>
  <si>
    <t>带前置广播功放</t>
  </si>
  <si>
    <t>1.规格参数：250W
2.参考型号：MP600P Ⅲ</t>
  </si>
  <si>
    <t>区矩阵器</t>
  </si>
  <si>
    <t>1.规格参数：5区</t>
  </si>
  <si>
    <t>前置放大器</t>
  </si>
  <si>
    <t>纯后级功放</t>
  </si>
  <si>
    <t>1.规格参数：1050W</t>
  </si>
  <si>
    <t>一体化吸顶扬声器</t>
  </si>
  <si>
    <t>1.规格参数：5W
2.参考型号：DSP602</t>
  </si>
  <si>
    <t>1.规格参数：6W
2.参考型号：WH-1F</t>
  </si>
  <si>
    <t>1.参考型号：CM10</t>
  </si>
  <si>
    <t>CD/DVD和MP3播放器</t>
  </si>
  <si>
    <t>1.规格参数：CD/MP3/MP4/VCD/DVD播放功能
2.参考型号：MP9807C</t>
  </si>
  <si>
    <t>彩色半球数字摄像机</t>
  </si>
  <si>
    <t>1.规格参数：200万像素、网络数字(POE供电)
2.参考型号：DS-2CD2125FHJ-IS</t>
  </si>
  <si>
    <t>网络硬盘录像机（NVR）</t>
  </si>
  <si>
    <t>1.规格参数：32路，含2T硬盘
2.参考型号：DS-8632N-K8/RTA</t>
  </si>
  <si>
    <t>1.规格参数：RTB 64路，含2T硬盘
2.参考型号：DS-8664N-I16</t>
  </si>
  <si>
    <t>POE千兆网络交换机</t>
  </si>
  <si>
    <t>1.规格参数：24口、10/100/1000Mbps</t>
  </si>
  <si>
    <t>1.规格参数：48口、10/100/1000Mbps</t>
  </si>
  <si>
    <t>彩色可视门禁室内机</t>
  </si>
  <si>
    <t>7寸液晶屏，用于2个以上门口机，带刷卡功能，IC/ID卡30张</t>
  </si>
  <si>
    <t>彩色可视门禁系统室外机</t>
  </si>
  <si>
    <t>IC卡刷卡开锁，带高清摄像头</t>
  </si>
  <si>
    <t>传呼主机</t>
  </si>
  <si>
    <t xml:space="preserve">1.参考型号：YH-968K </t>
  </si>
  <si>
    <t>传呼分机</t>
  </si>
  <si>
    <t>1.参考型号：YH-6399P</t>
  </si>
  <si>
    <t>走廊显示屏</t>
  </si>
  <si>
    <t>1.规格参数：双显
2.参考型号：YH-X245K</t>
  </si>
  <si>
    <t>标准机柜</t>
  </si>
  <si>
    <t>32U</t>
  </si>
  <si>
    <t>24U</t>
  </si>
  <si>
    <t>二气阀门箱</t>
  </si>
  <si>
    <t>氧气、吸引</t>
  </si>
  <si>
    <t>护士站二气报警箱</t>
  </si>
  <si>
    <t>护士站三气报警箱</t>
  </si>
  <si>
    <t>全自动二氧化碳汇流排/全自动笑气汇流排</t>
  </si>
  <si>
    <t>2+2瓶组</t>
  </si>
  <si>
    <t>二级稳压箱</t>
  </si>
  <si>
    <t>氧气流量计</t>
  </si>
  <si>
    <t>氧气终端/负压吸引终端/压缩空气终端</t>
  </si>
  <si>
    <t>1.材质：不锈钢
2.规格参数：终端流量大于10L/min，双销锁定，按压解锁，特定元件及插头型式，保证气体绝不混淆，不同气体终端采用不同颜色加以区分，安装板高度可选，100%气密检测</t>
  </si>
  <si>
    <t>医疗设备带</t>
  </si>
  <si>
    <t>1.材质: 铝合金、带侧板
2.规格参数:材料壁厚为1.5mm，宽度210mm,厚度72mm，表面采用丙烯酸喷漆工艺处理或静电喷塑处理，医院可根据环境要求选用相应的色彩，其面板可拆卸，安装维修方便，内设置气体、强电、弱电三个走线槽</t>
  </si>
  <si>
    <t>脱脂紫铜管</t>
  </si>
  <si>
    <t>φ8</t>
  </si>
  <si>
    <t>φ10</t>
  </si>
  <si>
    <t>φ12</t>
  </si>
  <si>
    <t>φ15</t>
  </si>
  <si>
    <t>φ18</t>
  </si>
  <si>
    <t>φ22</t>
  </si>
  <si>
    <t>φ25</t>
  </si>
  <si>
    <t>φ35</t>
  </si>
  <si>
    <t>φ42</t>
  </si>
  <si>
    <t>φ76</t>
  </si>
  <si>
    <t>无机预涂板</t>
  </si>
  <si>
    <t>6mm厚1200*2400mm</t>
  </si>
  <si>
    <t>氟碳喷涂铝单板</t>
  </si>
  <si>
    <t>1mm 厚</t>
  </si>
  <si>
    <t>保冷柜</t>
  </si>
  <si>
    <t>含12厚石膏板</t>
  </si>
  <si>
    <t>医用气密手动平开门</t>
  </si>
  <si>
    <t>医用铅防护医用气密手动平开门</t>
  </si>
  <si>
    <t>1000mm*2100mm</t>
  </si>
  <si>
    <t>医用电动单扇平移门</t>
  </si>
  <si>
    <t>1500mm*2100mm</t>
  </si>
  <si>
    <t>医用电动双开平开门</t>
  </si>
  <si>
    <t>医用铅防护电动单扇平移门</t>
  </si>
  <si>
    <t>1500mm、1200*2100mm</t>
  </si>
  <si>
    <t>聚合物水泥基防水涂料</t>
  </si>
  <si>
    <t>数据库服务器</t>
  </si>
  <si>
    <t>英特尔5218*2(2.3GHz/16-Core/22MB/125W)处理器,DDR4 RDIMM内存,4*32GB-2666MT/s-2Rank(2G*4bit)-1.2V-ECC,通用硬盘6*1200GB-SAS 12Gb/s-10K rpm-128MB及以上-2.5英寸(2.5英寸托架),3*x8 (x16 slot) IO模组,以太网卡-1Gb电口(Intel I350)-双端口-RJ45-PCIe 2.0 x4,SR430C-M 1G(LSI3108) SAS/SATA RAID卡-RAID0,1,5,6,10,50,60-12Gb/s-1GB Cache，550W 白金交流电源模块 (含中国制式墙插交流电源线),光驱-DVDRW-CD 24X/DVD 8X-USB 2.0-外置式-USB 2.0 5V供电</t>
  </si>
  <si>
    <t xml:space="preserve">参考华为2288X V5
</t>
  </si>
  <si>
    <t>应用服务器</t>
  </si>
  <si>
    <t>英特尔5218*2(2.3GHz/16-Core/22MB/125W)处理器,DDR4 RDIMM内存,4*32GB-2666MT/s-2Rank(2G*4bit)-1.2V-ECC,通用硬盘4*1200GB-SAS 12Gb/s-10K rpm-128MB及以上-2.5英寸(2.5英寸托架),3*x8 (x16 slot) IO模组,以太网卡-1Gb电口(Intel I350)-双端口-RJ45-PCIe 2.0 x4,SR430C-M 1G(LSI3108) SAS/SATA RAID卡-RAID0,1,5,6,10,50,60-12Gb/s-1GB Cache，550W 白金交流电源模块 (含中国制式墙插交流电源线),光驱-DVDRW-CD 24X/DVD 8X-USB 2.0-外置式-USB 2.0 5V供电</t>
  </si>
  <si>
    <t>比对器</t>
  </si>
  <si>
    <t>英特尔6226*2(2.7GHz/12-Core/19.25MB/125W)处理器，DDR4 RDIMM内存4*32GB-2666MT/s-2Rank(2G*4bit)-1.2V-ECC，通用硬盘4*1200GB-SAS 12Gb/s-10K rpm-128MB及以上-2.5英寸(2.5英寸托架)3*x8 (x16 slot) IO模组,以太网卡-1Gb电口(Intel I350)-双端口-RJ45-PCIe 2.0 x4,SR130 (LSI3008)-SAS/SATA RAIDCard-RAID0,1,1E,+600mm MiniSAS HD模块,1*x16 + 1*x8 (x16 slot) GPU IO模组,NVIDIA GTX3090显卡,2*1500W AC铂金电源模块(含中国制式墙插交流电源线，光驱-DVDRW-CD 24X/DVD 8X-USB 2.0-外置式-USB 2.0 5V供电/NVIDIA GTX2080Ti/GPU套件</t>
  </si>
  <si>
    <t>参考浪潮NF5280M5IntelXeon6226R(16C,150W,2.9GHz)*2</t>
  </si>
  <si>
    <t>专用比对器</t>
  </si>
  <si>
    <t>英特尔6226*2(2.7GHz/12-Core/19.25MB/125W)处理器，DDR4 RDIMM内存4*32GB-2666MT/s-2Rank(2G*4bit)-1.2V-ECC，通用硬盘4*1200GB-SAS 12Gb/s-10K rpm-128MB及以上-2.5英寸(2.5英寸托架)3*x8 (x16 slot) IO模组,以太网卡-1Gb电口(Intel I350)-双端口-RJ45-PCIe 2.0 x4,SR130 (LSI3008)-SAS/SATA RAIDCard-RAID0,1,1E,+600mm MiniSAS HD模块,1*x16 + 1*x8 (x16 slot) GPU IO模组,NVIDIA GTX3090显卡,2*1500W AC铂金电源模块(含中国制式墙插交流电源线，光驱-DVDRW-CD 24X/DVD 8X-USB 2.0-外置式-USB 2.0 5V供电NVIDIA GTX2080Ti/GPU套件/三年保修</t>
  </si>
  <si>
    <t>工作站</t>
  </si>
  <si>
    <t>I5-8400/8G/1TB/DVDRW/24"宽屏液晶显示器/键鼠</t>
  </si>
  <si>
    <t>交换机</t>
  </si>
  <si>
    <t>24口10/100/1000M自适应电口，4个SFP光口，固化单交流电源，交换容量 336Gbps/3.36Tbps、转发性51Mpps/126Mpps</t>
  </si>
  <si>
    <t>H3C（华三），型号：S5130S-28P-EI</t>
  </si>
  <si>
    <t>指纹系统软件</t>
  </si>
  <si>
    <t>现场库由10万扩容到30万</t>
  </si>
  <si>
    <t>枚</t>
  </si>
  <si>
    <t>方正剑鱼全自动指掌纹识别系统V10
东方金指指纹自动识别系统V8.0
众城综合生物识别技术系统软件V10.0</t>
  </si>
  <si>
    <t>滚动捺印库由50万扩容到60万</t>
  </si>
  <si>
    <t>份</t>
  </si>
  <si>
    <t>指纹比对速度由10万枚/秒提速到40万枚/秒</t>
  </si>
  <si>
    <t>枚/秒</t>
  </si>
  <si>
    <t>新算法指纹比对软件（包括现场、捺印快速采集、比对、反馈功能）</t>
  </si>
  <si>
    <t>12芯单模光纤</t>
  </si>
  <si>
    <t>市场询价1</t>
  </si>
  <si>
    <t>8芯单模光纤</t>
  </si>
  <si>
    <t>市场询价2</t>
  </si>
  <si>
    <t>PPS钢塑复合管DN50</t>
  </si>
  <si>
    <t>DN50</t>
  </si>
  <si>
    <t>市场询价3</t>
  </si>
  <si>
    <t>LED球场投光灯</t>
  </si>
  <si>
    <t>6M,100W</t>
  </si>
  <si>
    <t>盏</t>
  </si>
  <si>
    <t>市场询价4</t>
  </si>
  <si>
    <t>闸阀DN100</t>
  </si>
  <si>
    <t>市场询价5</t>
  </si>
  <si>
    <t>闸阀DN200</t>
  </si>
  <si>
    <t>市场询价6</t>
  </si>
  <si>
    <t>闸阀DN150</t>
  </si>
  <si>
    <t>市场询价7</t>
  </si>
  <si>
    <t>无线远传智能水表 LXSYY-20</t>
  </si>
  <si>
    <t>LXSYY-20</t>
  </si>
  <si>
    <t>市场询价8</t>
  </si>
  <si>
    <t>无线远传智能水表 LXSYY-15</t>
  </si>
  <si>
    <t>LXSYY-15</t>
  </si>
  <si>
    <t>市场询价9</t>
  </si>
  <si>
    <t>不锈钢成品分水器DN50*20*2</t>
  </si>
  <si>
    <t>DN50*20*2</t>
  </si>
  <si>
    <t>市场询价10</t>
  </si>
  <si>
    <t>汽车充电桩，单桩双枪14KW</t>
  </si>
  <si>
    <t>14KW</t>
  </si>
  <si>
    <t>市场询价11</t>
  </si>
  <si>
    <t>电动摩托车电桩，单桩10路</t>
  </si>
  <si>
    <t>10路</t>
  </si>
  <si>
    <t>市场询价12</t>
  </si>
  <si>
    <t>一般路灯 LED路灯</t>
  </si>
  <si>
    <t>5M 60W</t>
  </si>
  <si>
    <t>市场询价13</t>
  </si>
  <si>
    <t>入口、及出口（安全检查设备）道闸</t>
  </si>
  <si>
    <t>包含:入口、及出口（安全检查设备）道闸</t>
  </si>
  <si>
    <t>市场询价14</t>
  </si>
  <si>
    <t>电感线圈车辆检测器</t>
  </si>
  <si>
    <t>市场询价15</t>
  </si>
  <si>
    <t>车辆识别一体机</t>
  </si>
  <si>
    <t>1、可以识别车辆、显示车牌、剩余车位、进出场时间、收费时长及金额、有效期，广告语，语音播报；2、可对无牌车辆提供纸质票据等</t>
  </si>
  <si>
    <t>市场询价16</t>
  </si>
  <si>
    <t>高清智能枪式摄像机</t>
  </si>
  <si>
    <t>H.265/H.264，最大分辨率2592×1520，H.265 MP/H.264 BP、MP、HP编码 2、支持帧率动态控制功能，当触发报警时，视频录像帧率应 自动调整至设定值。3、宽动态不小于106dB，且宽动态综合评价得分不小于131 4、设备与客户端之间用150米网线进行传输，数据包丢包率不大于0.05%  镀锌钢管立杆定制H:4.5M，外层喷塑</t>
  </si>
  <si>
    <t>市场询价17</t>
  </si>
  <si>
    <t>4m摄像机立杆(全套)</t>
  </si>
  <si>
    <t xml:space="preserve">立杆材质：镀锌钢管DN150*4.5mm、镀锌钢管DN100*4.0mm（成套）
</t>
  </si>
  <si>
    <t>市场询价18</t>
  </si>
  <si>
    <t>48口配线架FC光配线架</t>
  </si>
  <si>
    <t>48口配线架FC光配线架，预装耦合器</t>
  </si>
  <si>
    <t>市场询价19</t>
  </si>
  <si>
    <t>磁盘阵列</t>
  </si>
  <si>
    <t>4U机架式IP磁盘存储阵列 模块化无线缆设计，主板、电源、风扇可插拔更换，便于维护 500Mbits/秒录像写入能力+额外200Mbits/秒转发能力 16个SATA盘位，支持iSCSI,RAID0/1/5/6/10 3个千兆网口，支持双网卡绑定，双冗余电源与监控平台配合，实现录像直接存储及码流转发，可支持16个企业级4T硬盘</t>
  </si>
  <si>
    <t>市场询价20</t>
  </si>
  <si>
    <t>16路硬盘录像机（含硬盘）</t>
  </si>
  <si>
    <t>1.（内置专用硬盘4Tx2块） 主处理器：工业级嵌入式微控制器，操作系统：嵌入式 Linux 实时操作系统，机型：1.5U，盘位： 8盘位，网络视频 接入：16路， IPC 分辨率：4K/6M/5M/4M/3M/1080P/1.3M/720P ，视频输出： 1 路 VGA ， 1 路 HDMI ，支持 VGA/HDMI 视频同源输出，电源： 1 个电源接口， AC90V~264V 50+2% Hz</t>
  </si>
  <si>
    <t>市场询价21</t>
  </si>
  <si>
    <t>42寸液晶监视器</t>
  </si>
  <si>
    <t>1、工业级宽视角面板，适合7*24小时连续工作 2 、领先算法技术，色彩靓丽、逼真 3 、FHD 高清分辨率，画质清晰 4 、画面快速响应，真正无拖尾 5 、自带 3D 梳状滤波器和 3D 降噪 6 、内置拼接功能，可实现多个监视器的拼接显示 7 、支持选配高清网络解码模块 8 、自动消除残影功能，保护液晶屏的长期使用 9 、专业散热设计，延长设备使用寿命 10 、高对比度、高亮度，极大的提高画面层次，更好的表现 细节 11 、支持多种信号输入 12 、遥控、软件控制，支持远程开关机 13 、亮度智能控制，节能环保 14 、内置高性能电源设计，能耗低，静音</t>
  </si>
  <si>
    <t>市场询价22</t>
  </si>
  <si>
    <t>主控键盘</t>
  </si>
  <si>
    <t>DS-1100K</t>
  </si>
  <si>
    <t>市场询价23</t>
  </si>
  <si>
    <t>24口千兆桌面网络交换机</t>
  </si>
  <si>
    <t>全千兆智能安全接入交换机，24个10/100/1000电口+4千兆SFP接口</t>
  </si>
  <si>
    <t>市场询价24</t>
  </si>
  <si>
    <t>8口监控汇聚交换机</t>
  </si>
  <si>
    <t>全千兆智能安全接入交换机8个10/100/1000电口</t>
  </si>
  <si>
    <t>市场询价25</t>
  </si>
  <si>
    <t>2光3电光纤环网交换机</t>
  </si>
  <si>
    <t>市场询价26</t>
  </si>
  <si>
    <t>电源防雷器</t>
  </si>
  <si>
    <t>型号：KBD-BD60/220</t>
  </si>
  <si>
    <t>市场询价27</t>
  </si>
  <si>
    <t>基层处理剂</t>
  </si>
  <si>
    <t>防水底胶</t>
  </si>
  <si>
    <t>市场询价28</t>
  </si>
  <si>
    <t>聚氨酯中涂</t>
  </si>
  <si>
    <t>硅PU</t>
  </si>
  <si>
    <t>市场询价29</t>
  </si>
  <si>
    <t>聚氨酯面涂</t>
  </si>
  <si>
    <t>水性硅PU面层</t>
  </si>
  <si>
    <t>市场询价30</t>
  </si>
  <si>
    <t>烧面芝麻灰滤板</t>
  </si>
  <si>
    <t>600*300*50mm，带泄水孔</t>
  </si>
  <si>
    <t>市场询价31</t>
  </si>
  <si>
    <t>篮球场护栏</t>
  </si>
  <si>
    <t>外框75*2.5圆管，丝径4mm，网孔50，H=4.0m</t>
  </si>
  <si>
    <t>㎡</t>
  </si>
  <si>
    <t>市场询价32</t>
  </si>
  <si>
    <t>碳纤维增强复合材料</t>
  </si>
  <si>
    <t>300g</t>
  </si>
  <si>
    <t>自密实砼</t>
  </si>
  <si>
    <t>C40</t>
  </si>
  <si>
    <t>m³</t>
  </si>
  <si>
    <t>1.6t/m3，询价计算(800*1.6)/1.1295=1133.24元/m3，按报审1100元/m3计价</t>
  </si>
  <si>
    <t>水泥复合砂浆</t>
  </si>
  <si>
    <t>M30</t>
  </si>
  <si>
    <t>1.9t/m3，询价计算1.9*1100/1.1295=1850.38元/m3，按报审1800元/m3计价</t>
  </si>
  <si>
    <t>不燃A级无甲醛环保玻璃棉板</t>
  </si>
  <si>
    <t>不燃（A级）</t>
  </si>
  <si>
    <t>询价价格不含税金</t>
  </si>
  <si>
    <t>去磷无缝紫铜管</t>
  </si>
  <si>
    <t>φ9.52</t>
  </si>
  <si>
    <t>φ15.9</t>
  </si>
  <si>
    <t>φ19.05</t>
  </si>
  <si>
    <t>φ22.2</t>
  </si>
  <si>
    <t>φ28.6</t>
  </si>
  <si>
    <t>φ31.8</t>
  </si>
  <si>
    <t>φ38.1</t>
  </si>
  <si>
    <t>φ41.3</t>
  </si>
  <si>
    <t>φ44.5</t>
  </si>
  <si>
    <t>自由静压风管式室内机 SNJ-22</t>
  </si>
  <si>
    <t>制冷量(kW)2.2；设备制热量(kW)2.5.设备风量(m^3/h)550/500/450；功率(W)85</t>
  </si>
  <si>
    <t>自由静压风管式室内机 SNJ-40</t>
  </si>
  <si>
    <t>制冷量(kW)4；设备制热量(kW)4.8；设备风量(m^3/h)850/700/600</t>
  </si>
  <si>
    <t>自由静压风管式室内机 SNJ-50</t>
  </si>
  <si>
    <t>制冷量(kW)5；设备制热量(kW)5.6；设备风量(m^3/h)850/700/6000；功率(W)150</t>
  </si>
  <si>
    <t>自由静压风管式室内机 SNJ-70</t>
  </si>
  <si>
    <t>制冷量(kW)7；设备制热量(kW)8；设备风量(m^3/h)1200/1100/1000；功率(W)230</t>
  </si>
  <si>
    <t>自由静压风管式室内机 SNJ-80</t>
  </si>
  <si>
    <t>制冷量(kW)8；设备制热量(kW)9；设备风量(m^3/h)1250/1100/1000；功率(W)230</t>
  </si>
  <si>
    <t>自由静压风管式室内机 SNJ-100</t>
  </si>
  <si>
    <t>制冷量(kW)10.设备制热量(kW)11.2.设备风量(m^3/h)1800/1500/1300.功率(W)280</t>
  </si>
  <si>
    <t>自由静压风管式室内机 SNJ-112</t>
  </si>
  <si>
    <t>制冷量(kW)11.2；设备制热量(kW)13.44；设备风量(m^3/h)2400/1900/1700；功率(W)800</t>
  </si>
  <si>
    <t>自由静压风管式室内机 SNJ-140</t>
  </si>
  <si>
    <t>制冷量(kW)14；设备制热量(kW)16.8；设备风量(m^3/h)2400/1900/1700；功率(W)800</t>
  </si>
  <si>
    <t>自由静压风管式室内机 SNJ-160</t>
  </si>
  <si>
    <t>制冷量(kW)16；设备制热量(kW)18；设备风量(m^3/h)2400/1900/1700；功率(W)800</t>
  </si>
  <si>
    <t>自由静压风管式室内机 SNJ-280</t>
  </si>
  <si>
    <t>制冷量(kW)28；设备制热量(kW)31；设备风量(m^3/h)4400/4000/3600；功率(W)900</t>
  </si>
  <si>
    <t>室外机 SWJ-56</t>
  </si>
  <si>
    <t>制冷量(kW) 56；设备制热量(kW)63；功率(KW)25</t>
  </si>
  <si>
    <t xml:space="preserve">室外机 </t>
  </si>
  <si>
    <t>制冷量(kW) 140；设备制热量(kW)156.5；功率(KW)50</t>
  </si>
  <si>
    <t>室外机 SWJ-185</t>
  </si>
  <si>
    <t>制冷量(kW) 173.4；设备制热量(kW)194.5；功率(KW)79.3</t>
  </si>
  <si>
    <t>室外机 SWJ-265</t>
  </si>
  <si>
    <t>制冷量(kW) 265；设备制热量(kW)298；功率(KW)79.3</t>
  </si>
  <si>
    <t>室外机 SWJ-285</t>
  </si>
  <si>
    <t>制冷量(kW)285.设备制热量(kW).功率(KW)</t>
  </si>
  <si>
    <t>全热式新风换气机XFHQ-500</t>
  </si>
  <si>
    <t>电功率(W)200；静压(Pa)100；设备风量(m^3/h)500</t>
  </si>
  <si>
    <t>全热式新风换气机XFHQ-3500</t>
  </si>
  <si>
    <t>电功率(W)3000；静压(Pa)280；设备风量(m^3/h)3500</t>
  </si>
  <si>
    <t>全热式新风换气机XFHQ-2000</t>
  </si>
  <si>
    <t>电功率(W)1300；静压(Pa)200；设备风量(m^3/h)2000</t>
  </si>
  <si>
    <t>空气源热泵机组</t>
  </si>
  <si>
    <t>功率18.3kw实际制热量84kw</t>
  </si>
</sst>
</file>

<file path=xl/styles.xml><?xml version="1.0" encoding="utf-8"?>
<styleSheet xmlns="http://schemas.openxmlformats.org/spreadsheetml/2006/main">
  <numFmts count="7">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0_ "/>
    <numFmt numFmtId="177" formatCode="0.00_ "/>
    <numFmt numFmtId="178" formatCode="0.0_ "/>
  </numFmts>
  <fonts count="49">
    <font>
      <sz val="10"/>
      <color indexed="8"/>
      <name val="Arial"/>
      <family val="2"/>
      <charset val="0"/>
    </font>
    <font>
      <sz val="12"/>
      <color indexed="8"/>
      <name val="宋体"/>
      <charset val="134"/>
    </font>
    <font>
      <sz val="10"/>
      <color indexed="8"/>
      <name val="宋体"/>
      <charset val="134"/>
    </font>
    <font>
      <b/>
      <sz val="12"/>
      <color indexed="8"/>
      <name val="宋体"/>
      <charset val="134"/>
    </font>
    <font>
      <b/>
      <sz val="12"/>
      <name val="宋体"/>
      <charset val="134"/>
    </font>
    <font>
      <sz val="12"/>
      <color indexed="8"/>
      <name val="宋体"/>
      <charset val="134"/>
      <scheme val="minor"/>
    </font>
    <font>
      <b/>
      <sz val="20"/>
      <color indexed="8"/>
      <name val="宋体"/>
      <charset val="134"/>
    </font>
    <font>
      <b/>
      <sz val="20"/>
      <name val="宋体"/>
      <charset val="134"/>
    </font>
    <font>
      <b/>
      <sz val="10"/>
      <color indexed="8"/>
      <name val="宋体"/>
      <charset val="134"/>
    </font>
    <font>
      <b/>
      <sz val="10"/>
      <name val="宋体"/>
      <charset val="134"/>
    </font>
    <font>
      <b/>
      <sz val="11"/>
      <color indexed="8"/>
      <name val="宋体"/>
      <charset val="134"/>
    </font>
    <font>
      <b/>
      <sz val="11"/>
      <name val="宋体"/>
      <charset val="134"/>
    </font>
    <font>
      <sz val="9"/>
      <name val="宋体"/>
      <charset val="134"/>
    </font>
    <font>
      <b/>
      <sz val="20"/>
      <color indexed="8"/>
      <name val="宋体"/>
      <charset val="134"/>
      <scheme val="minor"/>
    </font>
    <font>
      <sz val="10"/>
      <color indexed="8"/>
      <name val="宋体"/>
      <charset val="134"/>
      <scheme val="minor"/>
    </font>
    <font>
      <b/>
      <sz val="11"/>
      <color indexed="8"/>
      <name val="宋体"/>
      <charset val="134"/>
      <scheme val="minor"/>
    </font>
    <font>
      <sz val="10"/>
      <name val="宋体"/>
      <charset val="134"/>
    </font>
    <font>
      <sz val="11"/>
      <name val="宋体"/>
      <charset val="134"/>
    </font>
    <font>
      <sz val="10"/>
      <color rgb="FF000000"/>
      <name val="宋体"/>
      <charset val="134"/>
    </font>
    <font>
      <sz val="9"/>
      <color rgb="FF000000"/>
      <name val="宋体"/>
      <charset val="134"/>
    </font>
    <font>
      <sz val="11"/>
      <color rgb="FF000000"/>
      <name val="宋体"/>
      <charset val="134"/>
    </font>
    <font>
      <sz val="11"/>
      <color indexed="8"/>
      <name val="宋体"/>
      <charset val="134"/>
    </font>
    <font>
      <sz val="10"/>
      <color indexed="8"/>
      <name val="宋体"/>
      <charset val="134"/>
    </font>
    <font>
      <sz val="9"/>
      <name val="宋体"/>
      <charset val="134"/>
    </font>
    <font>
      <sz val="11"/>
      <name val="宋体"/>
      <charset val="134"/>
      <scheme val="minor"/>
    </font>
    <font>
      <sz val="11"/>
      <color theme="1"/>
      <name val="宋体"/>
      <charset val="134"/>
      <scheme val="minor"/>
    </font>
    <font>
      <sz val="11"/>
      <color theme="1"/>
      <name val="宋体"/>
      <charset val="134"/>
    </font>
    <font>
      <sz val="10"/>
      <color theme="1"/>
      <name val="宋体"/>
      <charset val="134"/>
    </font>
    <font>
      <sz val="10"/>
      <color theme="1"/>
      <name val="宋体"/>
      <charset val="134"/>
      <scheme val="minor"/>
    </font>
    <font>
      <b/>
      <sz val="11"/>
      <color theme="3"/>
      <name val="宋体"/>
      <charset val="134"/>
      <scheme val="minor"/>
    </font>
    <font>
      <sz val="11"/>
      <color theme="1"/>
      <name val="宋体"/>
      <charset val="0"/>
      <scheme val="minor"/>
    </font>
    <font>
      <sz val="11"/>
      <color theme="0"/>
      <name val="宋体"/>
      <charset val="0"/>
      <scheme val="minor"/>
    </font>
    <font>
      <sz val="11"/>
      <color rgb="FF3F3F76"/>
      <name val="宋体"/>
      <charset val="0"/>
      <scheme val="minor"/>
    </font>
    <font>
      <b/>
      <sz val="11"/>
      <color rgb="FF3F3F3F"/>
      <name val="宋体"/>
      <charset val="0"/>
      <scheme val="minor"/>
    </font>
    <font>
      <sz val="11"/>
      <color rgb="FF9C0006"/>
      <name val="宋体"/>
      <charset val="0"/>
      <scheme val="minor"/>
    </font>
    <font>
      <b/>
      <sz val="15"/>
      <color theme="3"/>
      <name val="宋体"/>
      <charset val="134"/>
      <scheme val="minor"/>
    </font>
    <font>
      <u/>
      <sz val="11"/>
      <color rgb="FF0000FF"/>
      <name val="宋体"/>
      <charset val="0"/>
      <scheme val="minor"/>
    </font>
    <font>
      <b/>
      <sz val="13"/>
      <color theme="3"/>
      <name val="宋体"/>
      <charset val="134"/>
      <scheme val="minor"/>
    </font>
    <font>
      <u/>
      <sz val="11"/>
      <color rgb="FF800080"/>
      <name val="宋体"/>
      <charset val="0"/>
      <scheme val="minor"/>
    </font>
    <font>
      <i/>
      <sz val="11"/>
      <color rgb="FF7F7F7F"/>
      <name val="宋体"/>
      <charset val="0"/>
      <scheme val="minor"/>
    </font>
    <font>
      <sz val="11"/>
      <color rgb="FFFF0000"/>
      <name val="宋体"/>
      <charset val="0"/>
      <scheme val="minor"/>
    </font>
    <font>
      <b/>
      <sz val="18"/>
      <color theme="3"/>
      <name val="宋体"/>
      <charset val="134"/>
      <scheme val="minor"/>
    </font>
    <font>
      <b/>
      <sz val="11"/>
      <color theme="1"/>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sz val="11"/>
      <color rgb="FF006100"/>
      <name val="宋体"/>
      <charset val="0"/>
      <scheme val="minor"/>
    </font>
    <font>
      <sz val="11"/>
      <color rgb="FF9C6500"/>
      <name val="宋体"/>
      <charset val="0"/>
      <scheme val="minor"/>
    </font>
    <font>
      <sz val="9"/>
      <color theme="1"/>
      <name val="宋体"/>
      <charset val="134"/>
      <scheme val="minor"/>
    </font>
  </fonts>
  <fills count="35">
    <fill>
      <patternFill patternType="none"/>
    </fill>
    <fill>
      <patternFill patternType="gray125"/>
    </fill>
    <fill>
      <patternFill patternType="solid">
        <fgColor theme="0"/>
        <bgColor indexed="64"/>
      </patternFill>
    </fill>
    <fill>
      <patternFill patternType="solid">
        <fgColor theme="0"/>
        <bgColor indexed="1"/>
      </patternFill>
    </fill>
    <fill>
      <patternFill patternType="solid">
        <fgColor theme="8" tint="0.799981688894314"/>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4" tint="0.399975585192419"/>
        <bgColor indexed="64"/>
      </patternFill>
    </fill>
    <fill>
      <patternFill patternType="solid">
        <fgColor rgb="FFFFCC99"/>
        <bgColor indexed="64"/>
      </patternFill>
    </fill>
    <fill>
      <patternFill patternType="solid">
        <fgColor theme="6"/>
        <bgColor indexed="64"/>
      </patternFill>
    </fill>
    <fill>
      <patternFill patternType="solid">
        <fgColor rgb="FFF2F2F2"/>
        <bgColor indexed="64"/>
      </patternFill>
    </fill>
    <fill>
      <patternFill patternType="solid">
        <fgColor rgb="FFFFC7CE"/>
        <bgColor indexed="64"/>
      </patternFill>
    </fill>
    <fill>
      <patternFill patternType="solid">
        <fgColor theme="6" tint="0.399975585192419"/>
        <bgColor indexed="64"/>
      </patternFill>
    </fill>
    <fill>
      <patternFill patternType="solid">
        <fgColor theme="9"/>
        <bgColor indexed="64"/>
      </patternFill>
    </fill>
    <fill>
      <patternFill patternType="solid">
        <fgColor rgb="FFFFFFCC"/>
        <bgColor indexed="64"/>
      </patternFill>
    </fill>
    <fill>
      <patternFill patternType="solid">
        <fgColor theme="5" tint="0.399975585192419"/>
        <bgColor indexed="64"/>
      </patternFill>
    </fill>
    <fill>
      <patternFill patternType="solid">
        <fgColor theme="5" tint="0.599993896298105"/>
        <bgColor indexed="64"/>
      </patternFill>
    </fill>
    <fill>
      <patternFill patternType="solid">
        <fgColor theme="7" tint="0.399975585192419"/>
        <bgColor indexed="64"/>
      </patternFill>
    </fill>
    <fill>
      <patternFill patternType="solid">
        <fgColor theme="7" tint="0.599993896298105"/>
        <bgColor indexed="64"/>
      </patternFill>
    </fill>
    <fill>
      <patternFill patternType="solid">
        <fgColor theme="7"/>
        <bgColor indexed="64"/>
      </patternFill>
    </fill>
    <fill>
      <patternFill patternType="solid">
        <fgColor theme="4"/>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theme="8"/>
        <bgColor indexed="64"/>
      </patternFill>
    </fill>
    <fill>
      <patternFill patternType="solid">
        <fgColor rgb="FFC6EFCE"/>
        <bgColor indexed="64"/>
      </patternFill>
    </fill>
    <fill>
      <patternFill patternType="solid">
        <fgColor theme="4" tint="0.599993896298105"/>
        <bgColor indexed="64"/>
      </patternFill>
    </fill>
    <fill>
      <patternFill patternType="solid">
        <fgColor rgb="FFFFEB9C"/>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5"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tint="0.599993896298105"/>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0">
    <xf numFmtId="0" fontId="0" fillId="0" borderId="0"/>
    <xf numFmtId="42" fontId="25" fillId="0" borderId="0" applyFont="0" applyFill="0" applyBorder="0" applyAlignment="0" applyProtection="0">
      <alignment vertical="center"/>
    </xf>
    <xf numFmtId="0" fontId="30" fillId="5" borderId="0" applyNumberFormat="0" applyBorder="0" applyAlignment="0" applyProtection="0">
      <alignment vertical="center"/>
    </xf>
    <xf numFmtId="0" fontId="32" fillId="9" borderId="4" applyNumberFormat="0" applyAlignment="0" applyProtection="0">
      <alignment vertical="center"/>
    </xf>
    <xf numFmtId="44" fontId="25" fillId="0" borderId="0" applyFont="0" applyFill="0" applyBorder="0" applyAlignment="0" applyProtection="0">
      <alignment vertical="center"/>
    </xf>
    <xf numFmtId="41" fontId="25" fillId="0" borderId="0" applyFont="0" applyFill="0" applyBorder="0" applyAlignment="0" applyProtection="0">
      <alignment vertical="center"/>
    </xf>
    <xf numFmtId="0" fontId="30" fillId="6" borderId="0" applyNumberFormat="0" applyBorder="0" applyAlignment="0" applyProtection="0">
      <alignment vertical="center"/>
    </xf>
    <xf numFmtId="0" fontId="34" fillId="12" borderId="0" applyNumberFormat="0" applyBorder="0" applyAlignment="0" applyProtection="0">
      <alignment vertical="center"/>
    </xf>
    <xf numFmtId="43" fontId="25" fillId="0" borderId="0" applyFont="0" applyFill="0" applyBorder="0" applyAlignment="0" applyProtection="0">
      <alignment vertical="center"/>
    </xf>
    <xf numFmtId="0" fontId="31" fillId="13" borderId="0" applyNumberFormat="0" applyBorder="0" applyAlignment="0" applyProtection="0">
      <alignment vertical="center"/>
    </xf>
    <xf numFmtId="0" fontId="36" fillId="0" borderId="0" applyNumberFormat="0" applyFill="0" applyBorder="0" applyAlignment="0" applyProtection="0">
      <alignment vertical="center"/>
    </xf>
    <xf numFmtId="9" fontId="25" fillId="0" borderId="0" applyFont="0" applyFill="0" applyBorder="0" applyAlignment="0" applyProtection="0">
      <alignment vertical="center"/>
    </xf>
    <xf numFmtId="0" fontId="38" fillId="0" borderId="0" applyNumberFormat="0" applyFill="0" applyBorder="0" applyAlignment="0" applyProtection="0">
      <alignment vertical="center"/>
    </xf>
    <xf numFmtId="0" fontId="25" fillId="15" borderId="7" applyNumberFormat="0" applyFont="0" applyAlignment="0" applyProtection="0">
      <alignment vertical="center"/>
    </xf>
    <xf numFmtId="0" fontId="31" fillId="16" borderId="0" applyNumberFormat="0" applyBorder="0" applyAlignment="0" applyProtection="0">
      <alignment vertical="center"/>
    </xf>
    <xf numFmtId="0" fontId="2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5" fillId="0" borderId="6" applyNumberFormat="0" applyFill="0" applyAlignment="0" applyProtection="0">
      <alignment vertical="center"/>
    </xf>
    <xf numFmtId="0" fontId="37" fillId="0" borderId="6" applyNumberFormat="0" applyFill="0" applyAlignment="0" applyProtection="0">
      <alignment vertical="center"/>
    </xf>
    <xf numFmtId="0" fontId="31" fillId="8" borderId="0" applyNumberFormat="0" applyBorder="0" applyAlignment="0" applyProtection="0">
      <alignment vertical="center"/>
    </xf>
    <xf numFmtId="0" fontId="29" fillId="0" borderId="3" applyNumberFormat="0" applyFill="0" applyAlignment="0" applyProtection="0">
      <alignment vertical="center"/>
    </xf>
    <xf numFmtId="0" fontId="31" fillId="18" borderId="0" applyNumberFormat="0" applyBorder="0" applyAlignment="0" applyProtection="0">
      <alignment vertical="center"/>
    </xf>
    <xf numFmtId="0" fontId="33" fillId="11" borderId="5" applyNumberFormat="0" applyAlignment="0" applyProtection="0">
      <alignment vertical="center"/>
    </xf>
    <xf numFmtId="0" fontId="43" fillId="11" borderId="4" applyNumberFormat="0" applyAlignment="0" applyProtection="0">
      <alignment vertical="center"/>
    </xf>
    <xf numFmtId="0" fontId="44" fillId="22" borderId="9" applyNumberFormat="0" applyAlignment="0" applyProtection="0">
      <alignment vertical="center"/>
    </xf>
    <xf numFmtId="0" fontId="30" fillId="23" borderId="0" applyNumberFormat="0" applyBorder="0" applyAlignment="0" applyProtection="0">
      <alignment vertical="center"/>
    </xf>
    <xf numFmtId="0" fontId="31" fillId="24" borderId="0" applyNumberFormat="0" applyBorder="0" applyAlignment="0" applyProtection="0">
      <alignment vertical="center"/>
    </xf>
    <xf numFmtId="0" fontId="45" fillId="0" borderId="10" applyNumberFormat="0" applyFill="0" applyAlignment="0" applyProtection="0">
      <alignment vertical="center"/>
    </xf>
    <xf numFmtId="0" fontId="42" fillId="0" borderId="8" applyNumberFormat="0" applyFill="0" applyAlignment="0" applyProtection="0">
      <alignment vertical="center"/>
    </xf>
    <xf numFmtId="0" fontId="46" fillId="26" borderId="0" applyNumberFormat="0" applyBorder="0" applyAlignment="0" applyProtection="0">
      <alignment vertical="center"/>
    </xf>
    <xf numFmtId="0" fontId="47" fillId="28" borderId="0" applyNumberFormat="0" applyBorder="0" applyAlignment="0" applyProtection="0">
      <alignment vertical="center"/>
    </xf>
    <xf numFmtId="0" fontId="30" fillId="4" borderId="0" applyNumberFormat="0" applyBorder="0" applyAlignment="0" applyProtection="0">
      <alignment vertical="center"/>
    </xf>
    <xf numFmtId="0" fontId="31" fillId="21" borderId="0" applyNumberFormat="0" applyBorder="0" applyAlignment="0" applyProtection="0">
      <alignment vertical="center"/>
    </xf>
    <xf numFmtId="0" fontId="30" fillId="30" borderId="0" applyNumberFormat="0" applyBorder="0" applyAlignment="0" applyProtection="0">
      <alignment vertical="center"/>
    </xf>
    <xf numFmtId="0" fontId="30" fillId="27" borderId="0" applyNumberFormat="0" applyBorder="0" applyAlignment="0" applyProtection="0">
      <alignment vertical="center"/>
    </xf>
    <xf numFmtId="0" fontId="30" fillId="31" borderId="0" applyNumberFormat="0" applyBorder="0" applyAlignment="0" applyProtection="0">
      <alignment vertical="center"/>
    </xf>
    <xf numFmtId="0" fontId="30" fillId="17" borderId="0" applyNumberFormat="0" applyBorder="0" applyAlignment="0" applyProtection="0">
      <alignment vertical="center"/>
    </xf>
    <xf numFmtId="0" fontId="31" fillId="10" borderId="0" applyNumberFormat="0" applyBorder="0" applyAlignment="0" applyProtection="0">
      <alignment vertical="center"/>
    </xf>
    <xf numFmtId="0" fontId="31" fillId="20" borderId="0" applyNumberFormat="0" applyBorder="0" applyAlignment="0" applyProtection="0">
      <alignment vertical="center"/>
    </xf>
    <xf numFmtId="0" fontId="30" fillId="29" borderId="0" applyNumberFormat="0" applyBorder="0" applyAlignment="0" applyProtection="0">
      <alignment vertical="center"/>
    </xf>
    <xf numFmtId="0" fontId="30" fillId="19" borderId="0" applyNumberFormat="0" applyBorder="0" applyAlignment="0" applyProtection="0">
      <alignment vertical="center"/>
    </xf>
    <xf numFmtId="0" fontId="31" fillId="25" borderId="0" applyNumberFormat="0" applyBorder="0" applyAlignment="0" applyProtection="0">
      <alignment vertical="center"/>
    </xf>
    <xf numFmtId="0" fontId="30" fillId="32" borderId="0" applyNumberFormat="0" applyBorder="0" applyAlignment="0" applyProtection="0">
      <alignment vertical="center"/>
    </xf>
    <xf numFmtId="0" fontId="31" fillId="33" borderId="0" applyNumberFormat="0" applyBorder="0" applyAlignment="0" applyProtection="0">
      <alignment vertical="center"/>
    </xf>
    <xf numFmtId="0" fontId="31" fillId="14" borderId="0" applyNumberFormat="0" applyBorder="0" applyAlignment="0" applyProtection="0">
      <alignment vertical="center"/>
    </xf>
    <xf numFmtId="0" fontId="30" fillId="34" borderId="0" applyNumberFormat="0" applyBorder="0" applyAlignment="0" applyProtection="0">
      <alignment vertical="center"/>
    </xf>
    <xf numFmtId="0" fontId="31" fillId="7" borderId="0" applyNumberFormat="0" applyBorder="0" applyAlignment="0" applyProtection="0">
      <alignment vertical="center"/>
    </xf>
    <xf numFmtId="0" fontId="48" fillId="0" borderId="0"/>
  </cellStyleXfs>
  <cellXfs count="109">
    <xf numFmtId="0" fontId="0" fillId="0" borderId="0" xfId="0"/>
    <xf numFmtId="0" fontId="1" fillId="0" borderId="0" xfId="0" applyFont="1" applyFill="1" applyAlignment="1">
      <alignment vertical="center"/>
    </xf>
    <xf numFmtId="0" fontId="2" fillId="0" borderId="0" xfId="0" applyFont="1" applyFill="1" applyAlignment="1">
      <alignment vertical="center"/>
    </xf>
    <xf numFmtId="0" fontId="3" fillId="0" borderId="0" xfId="0" applyFont="1" applyFill="1" applyAlignment="1">
      <alignment vertical="center"/>
    </xf>
    <xf numFmtId="0" fontId="3" fillId="0" borderId="0" xfId="0" applyFont="1" applyFill="1" applyAlignment="1">
      <alignment vertical="center" wrapText="1"/>
    </xf>
    <xf numFmtId="176" fontId="4" fillId="0" borderId="0" xfId="0" applyNumberFormat="1" applyFont="1" applyFill="1" applyAlignment="1">
      <alignment vertical="center"/>
    </xf>
    <xf numFmtId="0" fontId="5" fillId="0" borderId="0" xfId="0" applyFont="1" applyFill="1" applyAlignment="1">
      <alignment horizontal="center" vertical="center" wrapText="1"/>
    </xf>
    <xf numFmtId="0" fontId="1" fillId="0" borderId="0" xfId="0" applyFont="1" applyFill="1" applyAlignment="1">
      <alignment horizontal="center" vertical="center"/>
    </xf>
    <xf numFmtId="0" fontId="0" fillId="0" borderId="0" xfId="0" applyFill="1"/>
    <xf numFmtId="0" fontId="6" fillId="0" borderId="0" xfId="0" applyFont="1" applyFill="1" applyAlignment="1">
      <alignment horizontal="center" vertical="center"/>
    </xf>
    <xf numFmtId="0" fontId="6" fillId="0" borderId="0" xfId="0" applyFont="1" applyFill="1" applyAlignment="1">
      <alignment horizontal="center" vertical="center" wrapText="1"/>
    </xf>
    <xf numFmtId="176" fontId="7" fillId="0" borderId="0" xfId="0" applyNumberFormat="1" applyFont="1" applyFill="1" applyAlignment="1">
      <alignment horizontal="center" vertical="center"/>
    </xf>
    <xf numFmtId="0" fontId="2" fillId="0" borderId="0" xfId="0" applyFont="1" applyFill="1" applyBorder="1" applyAlignment="1">
      <alignment horizontal="left" vertical="center" wrapText="1"/>
    </xf>
    <xf numFmtId="0" fontId="8" fillId="0" borderId="0" xfId="0" applyFont="1" applyFill="1" applyBorder="1" applyAlignment="1">
      <alignment horizontal="left" vertical="center" wrapText="1"/>
    </xf>
    <xf numFmtId="176" fontId="9" fillId="0" borderId="0" xfId="0" applyNumberFormat="1" applyFont="1" applyFill="1" applyBorder="1" applyAlignment="1">
      <alignment horizontal="left" vertical="center" wrapText="1"/>
    </xf>
    <xf numFmtId="0" fontId="1" fillId="0" borderId="0" xfId="0" applyFont="1" applyFill="1" applyAlignment="1">
      <alignment horizontal="left" vertical="center"/>
    </xf>
    <xf numFmtId="0" fontId="3" fillId="0" borderId="0" xfId="0" applyFont="1" applyFill="1" applyAlignment="1">
      <alignment horizontal="left" vertical="center" wrapText="1"/>
    </xf>
    <xf numFmtId="0" fontId="3" fillId="0" borderId="0" xfId="0" applyFont="1" applyFill="1" applyAlignment="1">
      <alignment horizontal="left" vertical="center"/>
    </xf>
    <xf numFmtId="176" fontId="4" fillId="0" borderId="0" xfId="0" applyNumberFormat="1" applyFont="1" applyFill="1" applyAlignment="1">
      <alignment horizontal="left" vertical="center"/>
    </xf>
    <xf numFmtId="0" fontId="10" fillId="0" borderId="1" xfId="0" applyFont="1" applyFill="1" applyBorder="1" applyAlignment="1">
      <alignment horizontal="center" vertical="center" wrapText="1"/>
    </xf>
    <xf numFmtId="176" fontId="11"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shrinkToFit="1"/>
    </xf>
    <xf numFmtId="0" fontId="12" fillId="0" borderId="1" xfId="0" applyFont="1" applyFill="1" applyBorder="1" applyAlignment="1">
      <alignment horizontal="center" vertical="center" wrapText="1" shrinkToFit="1"/>
    </xf>
    <xf numFmtId="176" fontId="12" fillId="0" borderId="1" xfId="0" applyNumberFormat="1" applyFont="1" applyFill="1" applyBorder="1" applyAlignment="1">
      <alignment horizontal="center" vertical="center" wrapText="1" shrinkToFit="1"/>
    </xf>
    <xf numFmtId="0" fontId="12" fillId="0" borderId="1" xfId="0" applyFont="1" applyFill="1" applyBorder="1" applyAlignment="1">
      <alignment horizontal="center" vertical="center" wrapText="1" shrinkToFit="1"/>
    </xf>
    <xf numFmtId="176" fontId="12" fillId="0" borderId="1" xfId="0" applyNumberFormat="1" applyFont="1" applyFill="1" applyBorder="1" applyAlignment="1">
      <alignment horizontal="center" vertical="center" wrapText="1" shrinkToFit="1"/>
    </xf>
    <xf numFmtId="0" fontId="13" fillId="0" borderId="0" xfId="0" applyFont="1" applyFill="1" applyAlignment="1">
      <alignment horizontal="center" vertical="center" wrapText="1"/>
    </xf>
    <xf numFmtId="0" fontId="14" fillId="0" borderId="0" xfId="0" applyFont="1" applyFill="1" applyBorder="1" applyAlignment="1">
      <alignment horizontal="left" vertical="center" wrapText="1"/>
    </xf>
    <xf numFmtId="0" fontId="14" fillId="0" borderId="0" xfId="0" applyFont="1" applyFill="1" applyAlignment="1">
      <alignment horizontal="left" vertical="center" wrapText="1"/>
    </xf>
    <xf numFmtId="0" fontId="2" fillId="0" borderId="0" xfId="0" applyFont="1" applyFill="1" applyAlignment="1">
      <alignment horizontal="center" vertical="center"/>
    </xf>
    <xf numFmtId="0" fontId="15" fillId="0" borderId="1" xfId="0" applyFont="1" applyFill="1" applyBorder="1" applyAlignment="1">
      <alignment horizontal="center" vertical="center" wrapText="1"/>
    </xf>
    <xf numFmtId="0" fontId="15" fillId="0" borderId="0" xfId="0" applyFont="1" applyFill="1" applyAlignment="1">
      <alignment horizontal="center" vertical="center" wrapText="1"/>
    </xf>
    <xf numFmtId="0" fontId="3" fillId="0" borderId="0" xfId="0" applyFont="1" applyFill="1" applyAlignment="1">
      <alignment horizontal="center" vertical="center"/>
    </xf>
    <xf numFmtId="176" fontId="12" fillId="0" borderId="1" xfId="0" applyNumberFormat="1" applyFont="1" applyFill="1" applyBorder="1" applyAlignment="1">
      <alignment horizontal="center" vertical="center" wrapText="1" shrinkToFit="1"/>
    </xf>
    <xf numFmtId="0" fontId="12" fillId="0" borderId="0" xfId="0" applyFont="1" applyFill="1" applyAlignment="1">
      <alignment horizontal="center" vertical="center" wrapText="1" shrinkToFit="1"/>
    </xf>
    <xf numFmtId="0" fontId="12" fillId="0" borderId="0" xfId="0" applyFont="1" applyFill="1" applyAlignment="1">
      <alignment horizontal="center" vertical="center" wrapText="1" shrinkToFit="1"/>
    </xf>
    <xf numFmtId="177" fontId="12" fillId="0" borderId="1" xfId="0" applyNumberFormat="1" applyFont="1" applyFill="1" applyBorder="1" applyAlignment="1">
      <alignment horizontal="center" vertical="center" wrapText="1" shrinkToFit="1"/>
    </xf>
    <xf numFmtId="0" fontId="12" fillId="0" borderId="1" xfId="0" applyFont="1" applyFill="1" applyBorder="1" applyAlignment="1">
      <alignment horizontal="center" vertical="center" wrapText="1" shrinkToFit="1"/>
    </xf>
    <xf numFmtId="177" fontId="12" fillId="0" borderId="1" xfId="0" applyNumberFormat="1" applyFont="1" applyFill="1" applyBorder="1" applyAlignment="1">
      <alignment horizontal="center" vertical="center" wrapText="1" shrinkToFit="1"/>
    </xf>
    <xf numFmtId="176" fontId="12" fillId="0" borderId="1" xfId="0" applyNumberFormat="1" applyFont="1" applyFill="1" applyBorder="1" applyAlignment="1">
      <alignment horizontal="center" vertical="center" wrapText="1" shrinkToFit="1"/>
    </xf>
    <xf numFmtId="177" fontId="3" fillId="0" borderId="0" xfId="0" applyNumberFormat="1" applyFont="1" applyFill="1" applyAlignment="1">
      <alignment horizontal="center" vertical="center"/>
    </xf>
    <xf numFmtId="177" fontId="3" fillId="0" borderId="0" xfId="0" applyNumberFormat="1" applyFont="1" applyFill="1" applyAlignment="1">
      <alignment vertical="center"/>
    </xf>
    <xf numFmtId="176" fontId="16" fillId="2" borderId="1" xfId="0" applyNumberFormat="1" applyFont="1" applyFill="1" applyBorder="1" applyAlignment="1">
      <alignment horizontal="center" vertical="center" wrapText="1"/>
    </xf>
    <xf numFmtId="177" fontId="16" fillId="2" borderId="1" xfId="0" applyNumberFormat="1" applyFont="1" applyFill="1" applyBorder="1" applyAlignment="1">
      <alignment horizontal="center" vertical="center" wrapText="1"/>
    </xf>
    <xf numFmtId="177" fontId="12" fillId="2" borderId="1" xfId="0" applyNumberFormat="1" applyFont="1" applyFill="1" applyBorder="1" applyAlignment="1">
      <alignment vertical="center" wrapText="1"/>
    </xf>
    <xf numFmtId="177" fontId="17" fillId="2" borderId="1" xfId="0" applyNumberFormat="1" applyFont="1" applyFill="1" applyBorder="1" applyAlignment="1">
      <alignment horizontal="center" vertical="center" wrapText="1"/>
    </xf>
    <xf numFmtId="176" fontId="17" fillId="2" borderId="1" xfId="0" applyNumberFormat="1" applyFont="1" applyFill="1" applyBorder="1" applyAlignment="1">
      <alignment horizontal="center" vertical="center" wrapText="1"/>
    </xf>
    <xf numFmtId="177" fontId="16" fillId="2" borderId="1" xfId="0" applyNumberFormat="1" applyFont="1" applyFill="1" applyBorder="1" applyAlignment="1">
      <alignment horizontal="left" vertical="center" wrapText="1"/>
    </xf>
    <xf numFmtId="177" fontId="16" fillId="2" borderId="1" xfId="0" applyNumberFormat="1" applyFont="1" applyFill="1" applyBorder="1" applyAlignment="1">
      <alignment vertical="center" wrapText="1"/>
    </xf>
    <xf numFmtId="176" fontId="18" fillId="0" borderId="1" xfId="0" applyNumberFormat="1" applyFont="1" applyFill="1" applyBorder="1" applyAlignment="1">
      <alignment horizontal="center" vertical="center" wrapText="1"/>
    </xf>
    <xf numFmtId="177" fontId="18" fillId="0" borderId="1" xfId="0" applyNumberFormat="1" applyFont="1" applyFill="1" applyBorder="1" applyAlignment="1">
      <alignment horizontal="center" vertical="center" wrapText="1"/>
    </xf>
    <xf numFmtId="177" fontId="19" fillId="0" borderId="1" xfId="0" applyNumberFormat="1" applyFont="1" applyFill="1" applyBorder="1" applyAlignment="1">
      <alignment vertical="center" wrapText="1"/>
    </xf>
    <xf numFmtId="177" fontId="20" fillId="0" borderId="1" xfId="0" applyNumberFormat="1" applyFont="1" applyFill="1" applyBorder="1" applyAlignment="1">
      <alignment horizontal="center" vertical="center" wrapText="1"/>
    </xf>
    <xf numFmtId="176" fontId="18" fillId="2" borderId="1" xfId="0" applyNumberFormat="1" applyFont="1" applyFill="1" applyBorder="1" applyAlignment="1">
      <alignment horizontal="center" vertical="center" wrapText="1"/>
    </xf>
    <xf numFmtId="177" fontId="18" fillId="2" borderId="1" xfId="0" applyNumberFormat="1" applyFont="1" applyFill="1" applyBorder="1" applyAlignment="1">
      <alignment horizontal="center" vertical="center" wrapText="1"/>
    </xf>
    <xf numFmtId="177" fontId="19" fillId="2" borderId="1" xfId="0" applyNumberFormat="1" applyFont="1" applyFill="1" applyBorder="1" applyAlignment="1">
      <alignment vertical="center" wrapText="1"/>
    </xf>
    <xf numFmtId="177" fontId="20" fillId="2" borderId="1" xfId="0" applyNumberFormat="1" applyFont="1" applyFill="1" applyBorder="1" applyAlignment="1">
      <alignment horizontal="center" vertical="center" wrapText="1"/>
    </xf>
    <xf numFmtId="177" fontId="19" fillId="2" borderId="1" xfId="0" applyNumberFormat="1" applyFont="1" applyFill="1" applyBorder="1" applyAlignment="1">
      <alignment horizontal="left" vertical="center" wrapText="1"/>
    </xf>
    <xf numFmtId="176" fontId="20" fillId="2" borderId="1" xfId="0" applyNumberFormat="1" applyFont="1" applyFill="1" applyBorder="1" applyAlignment="1">
      <alignment horizontal="center" vertical="center" wrapText="1"/>
    </xf>
    <xf numFmtId="177" fontId="18" fillId="2" borderId="1" xfId="0" applyNumberFormat="1" applyFont="1" applyFill="1" applyBorder="1" applyAlignment="1">
      <alignment horizontal="left" vertical="center" wrapText="1"/>
    </xf>
    <xf numFmtId="177" fontId="12" fillId="2" borderId="1" xfId="0" applyNumberFormat="1" applyFont="1" applyFill="1" applyBorder="1" applyAlignment="1">
      <alignment horizontal="left"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21"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22" fillId="0" borderId="1" xfId="0" applyFont="1" applyFill="1" applyBorder="1" applyAlignment="1">
      <alignment horizontal="center" vertical="center"/>
    </xf>
    <xf numFmtId="0" fontId="16"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21" fillId="0" borderId="1" xfId="0" applyFont="1" applyFill="1" applyBorder="1" applyAlignment="1">
      <alignment horizontal="center" vertical="center"/>
    </xf>
    <xf numFmtId="0" fontId="2" fillId="0" borderId="2" xfId="0" applyFont="1" applyFill="1" applyBorder="1" applyAlignment="1">
      <alignment horizontal="center" vertical="center" wrapText="1"/>
    </xf>
    <xf numFmtId="176" fontId="3" fillId="0" borderId="0" xfId="0" applyNumberFormat="1" applyFont="1" applyFill="1" applyAlignment="1">
      <alignment vertical="center"/>
    </xf>
    <xf numFmtId="177" fontId="24" fillId="2" borderId="1" xfId="0" applyNumberFormat="1" applyFont="1" applyFill="1" applyBorder="1" applyAlignment="1">
      <alignment horizontal="center" vertical="center" wrapText="1"/>
    </xf>
    <xf numFmtId="177" fontId="25" fillId="0" borderId="1" xfId="0" applyNumberFormat="1" applyFont="1" applyFill="1" applyBorder="1" applyAlignment="1">
      <alignment horizontal="center" vertical="center" wrapText="1"/>
    </xf>
    <xf numFmtId="177" fontId="25" fillId="2"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177" fontId="2" fillId="0" borderId="1" xfId="0" applyNumberFormat="1" applyFont="1" applyFill="1" applyBorder="1" applyAlignment="1">
      <alignment horizontal="center" vertical="center"/>
    </xf>
    <xf numFmtId="176" fontId="1" fillId="0" borderId="0" xfId="0" applyNumberFormat="1" applyFont="1" applyFill="1" applyAlignment="1">
      <alignment vertical="center"/>
    </xf>
    <xf numFmtId="177" fontId="1" fillId="0" borderId="0" xfId="0" applyNumberFormat="1" applyFont="1" applyFill="1" applyAlignment="1">
      <alignment vertical="center"/>
    </xf>
    <xf numFmtId="0" fontId="2" fillId="0" borderId="2" xfId="0" applyFont="1" applyFill="1" applyBorder="1" applyAlignment="1">
      <alignment horizontal="center" vertical="center" wrapText="1"/>
    </xf>
    <xf numFmtId="0" fontId="21" fillId="0" borderId="0" xfId="0" applyFont="1" applyFill="1" applyAlignment="1">
      <alignment horizontal="center" vertical="center"/>
    </xf>
    <xf numFmtId="0" fontId="18" fillId="0" borderId="1" xfId="0" applyFont="1" applyFill="1" applyBorder="1" applyAlignment="1">
      <alignment horizontal="left" vertical="center" wrapText="1"/>
    </xf>
    <xf numFmtId="0" fontId="2" fillId="0" borderId="1" xfId="0" applyFont="1" applyFill="1" applyBorder="1" applyAlignment="1">
      <alignment horizontal="center" vertical="center"/>
    </xf>
    <xf numFmtId="177" fontId="2" fillId="0" borderId="1" xfId="0" applyNumberFormat="1" applyFont="1" applyFill="1" applyBorder="1" applyAlignment="1">
      <alignment horizontal="center" vertical="center"/>
    </xf>
    <xf numFmtId="0" fontId="12" fillId="0" borderId="1" xfId="0" applyFont="1" applyFill="1" applyBorder="1" applyAlignment="1">
      <alignment horizontal="left" vertical="center" wrapText="1" shrinkToFit="1"/>
    </xf>
    <xf numFmtId="0" fontId="12" fillId="0" borderId="1" xfId="0" applyFont="1" applyFill="1" applyBorder="1" applyAlignment="1">
      <alignment horizontal="left" vertical="center" wrapText="1" shrinkToFit="1"/>
    </xf>
    <xf numFmtId="178" fontId="12" fillId="0" borderId="1" xfId="0" applyNumberFormat="1" applyFont="1" applyFill="1" applyBorder="1" applyAlignment="1">
      <alignment horizontal="center" vertical="center" wrapText="1" shrinkToFit="1"/>
    </xf>
    <xf numFmtId="0" fontId="26" fillId="2" borderId="1" xfId="0" applyFont="1" applyFill="1" applyBorder="1" applyAlignment="1">
      <alignment horizontal="center" vertical="center"/>
    </xf>
    <xf numFmtId="0" fontId="27" fillId="2" borderId="1" xfId="0" applyFont="1" applyFill="1" applyBorder="1" applyAlignment="1">
      <alignment horizontal="center" vertical="center" wrapText="1"/>
    </xf>
    <xf numFmtId="0" fontId="27" fillId="2" borderId="1" xfId="0" applyFont="1" applyFill="1" applyBorder="1" applyAlignment="1">
      <alignment horizontal="center" vertical="center"/>
    </xf>
    <xf numFmtId="0" fontId="27" fillId="2" borderId="1" xfId="0" applyNumberFormat="1" applyFont="1" applyFill="1" applyBorder="1" applyAlignment="1">
      <alignment horizontal="center" vertical="center"/>
    </xf>
    <xf numFmtId="0" fontId="25" fillId="0" borderId="1" xfId="0" applyFont="1" applyFill="1" applyBorder="1" applyAlignment="1">
      <alignment horizontal="left" vertical="center" wrapText="1"/>
    </xf>
    <xf numFmtId="0" fontId="21" fillId="0" borderId="1" xfId="0" applyFont="1" applyFill="1" applyBorder="1" applyAlignment="1">
      <alignment vertical="center" wrapText="1"/>
    </xf>
    <xf numFmtId="0" fontId="21" fillId="0" borderId="1" xfId="0" applyFont="1" applyFill="1" applyBorder="1" applyAlignment="1">
      <alignment horizontal="center" vertical="center" wrapText="1"/>
    </xf>
    <xf numFmtId="0" fontId="25" fillId="0" borderId="1" xfId="0" applyFont="1" applyFill="1" applyBorder="1" applyAlignment="1">
      <alignment vertical="center" wrapText="1"/>
    </xf>
    <xf numFmtId="0" fontId="17" fillId="0" borderId="1" xfId="0" applyFont="1" applyFill="1" applyBorder="1" applyAlignment="1">
      <alignment vertical="center" wrapText="1"/>
    </xf>
    <xf numFmtId="0" fontId="2" fillId="0" borderId="1" xfId="0" applyFont="1" applyFill="1" applyBorder="1" applyAlignment="1">
      <alignment vertical="center" wrapText="1"/>
    </xf>
    <xf numFmtId="0" fontId="28" fillId="0" borderId="1" xfId="0" applyFont="1" applyFill="1" applyBorder="1" applyAlignment="1">
      <alignment vertical="center" wrapText="1"/>
    </xf>
    <xf numFmtId="0" fontId="21" fillId="0" borderId="1" xfId="0" applyNumberFormat="1" applyFont="1" applyFill="1" applyBorder="1" applyAlignment="1">
      <alignment horizontal="left" vertical="center" wrapText="1"/>
    </xf>
    <xf numFmtId="0" fontId="21" fillId="0" borderId="1" xfId="0" applyNumberFormat="1" applyFont="1" applyFill="1" applyBorder="1" applyAlignment="1">
      <alignment horizontal="center" vertical="center" wrapText="1"/>
    </xf>
    <xf numFmtId="0" fontId="16" fillId="0" borderId="1" xfId="0" applyFont="1" applyFill="1" applyBorder="1" applyAlignment="1">
      <alignment horizontal="center" vertical="center" wrapText="1" shrinkToFit="1"/>
    </xf>
    <xf numFmtId="0" fontId="27" fillId="0" borderId="1" xfId="0" applyFont="1" applyFill="1" applyBorder="1" applyAlignment="1">
      <alignment horizontal="center" vertical="center" wrapText="1"/>
    </xf>
    <xf numFmtId="0" fontId="16" fillId="3" borderId="1" xfId="49" applyFont="1" applyFill="1" applyBorder="1" applyAlignment="1">
      <alignment horizontal="left" vertical="center" wrapText="1"/>
    </xf>
    <xf numFmtId="0" fontId="16" fillId="2" borderId="1" xfId="0" applyNumberFormat="1" applyFont="1" applyFill="1" applyBorder="1" applyAlignment="1">
      <alignment horizontal="center" vertical="center" wrapText="1"/>
    </xf>
    <xf numFmtId="0" fontId="16" fillId="3" borderId="1" xfId="49"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vertical="center"/>
    </xf>
    <xf numFmtId="0" fontId="12" fillId="2" borderId="1" xfId="0" applyNumberFormat="1"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423"/>
  <sheetViews>
    <sheetView tabSelected="1" workbookViewId="0">
      <pane ySplit="6" topLeftCell="A418" activePane="bottomLeft" state="frozen"/>
      <selection/>
      <selection pane="bottomLeft" activeCell="N394" sqref="N394"/>
    </sheetView>
  </sheetViews>
  <sheetFormatPr defaultColWidth="10.2857142857143" defaultRowHeight="14.25"/>
  <cols>
    <col min="1" max="1" width="6.13333333333333" style="1" customWidth="1"/>
    <col min="2" max="2" width="27.4285714285714" style="4" customWidth="1"/>
    <col min="3" max="3" width="28.2857142857143" style="4" customWidth="1"/>
    <col min="4" max="4" width="5.84761904761905" style="3" customWidth="1"/>
    <col min="5" max="6" width="9.13333333333333" style="3" customWidth="1"/>
    <col min="7" max="7" width="9.13333333333333" style="5" customWidth="1"/>
    <col min="8" max="8" width="10.5714285714286" style="1" customWidth="1"/>
    <col min="9" max="9" width="11.5714285714286" style="1" customWidth="1"/>
    <col min="10" max="10" width="10.5714285714286" style="6" customWidth="1"/>
    <col min="11" max="11" width="5.13333333333333" style="6" customWidth="1"/>
    <col min="12" max="12" width="5.84761904761905" style="6" customWidth="1"/>
    <col min="13" max="13" width="17.847619047619" style="7"/>
    <col min="14" max="14" width="17.847619047619" style="1"/>
    <col min="15" max="15" width="16.2857142857143" style="1"/>
    <col min="16" max="16" width="17.847619047619" style="1"/>
    <col min="17" max="255" width="10.2857142857143" style="1"/>
    <col min="256" max="16384" width="10.2857142857143" style="8"/>
  </cols>
  <sheetData>
    <row r="1" s="1" customFormat="1" ht="31" customHeight="1" spans="1:13">
      <c r="A1" s="9" t="s">
        <v>0</v>
      </c>
      <c r="B1" s="10"/>
      <c r="C1" s="9"/>
      <c r="D1" s="9"/>
      <c r="E1" s="9"/>
      <c r="F1" s="9"/>
      <c r="G1" s="11"/>
      <c r="H1" s="9"/>
      <c r="I1" s="9"/>
      <c r="J1" s="26"/>
      <c r="K1" s="26"/>
      <c r="L1" s="26"/>
      <c r="M1" s="7"/>
    </row>
    <row r="2" s="2" customFormat="1" ht="19" customHeight="1" spans="1:13">
      <c r="A2" s="12"/>
      <c r="B2" s="13"/>
      <c r="C2" s="13"/>
      <c r="D2" s="13"/>
      <c r="E2" s="13"/>
      <c r="F2" s="13"/>
      <c r="G2" s="14"/>
      <c r="H2" s="12"/>
      <c r="I2" s="12"/>
      <c r="J2" s="27"/>
      <c r="K2" s="28"/>
      <c r="L2" s="28"/>
      <c r="M2" s="29"/>
    </row>
    <row r="3" s="2" customFormat="1" ht="19" customHeight="1" spans="1:13">
      <c r="A3" s="12"/>
      <c r="B3" s="13"/>
      <c r="C3" s="13"/>
      <c r="D3" s="13"/>
      <c r="E3" s="13"/>
      <c r="F3" s="13"/>
      <c r="G3" s="14"/>
      <c r="H3" s="12"/>
      <c r="I3" s="12"/>
      <c r="J3" s="27"/>
      <c r="K3" s="28"/>
      <c r="L3" s="28"/>
      <c r="M3" s="29"/>
    </row>
    <row r="4" s="1" customFormat="1" ht="8.25" hidden="1" customHeight="1" spans="1:13">
      <c r="A4" s="15"/>
      <c r="B4" s="16"/>
      <c r="C4" s="16"/>
      <c r="D4" s="17"/>
      <c r="E4" s="17"/>
      <c r="F4" s="17"/>
      <c r="G4" s="18"/>
      <c r="H4" s="15"/>
      <c r="I4" s="15"/>
      <c r="J4" s="6"/>
      <c r="K4" s="6"/>
      <c r="L4" s="6"/>
      <c r="M4" s="7"/>
    </row>
    <row r="5" s="3" customFormat="1" ht="21.95" customHeight="1" spans="1:13">
      <c r="A5" s="19" t="s">
        <v>1</v>
      </c>
      <c r="B5" s="19" t="s">
        <v>2</v>
      </c>
      <c r="C5" s="19" t="s">
        <v>3</v>
      </c>
      <c r="D5" s="19" t="s">
        <v>4</v>
      </c>
      <c r="E5" s="19" t="s">
        <v>5</v>
      </c>
      <c r="F5" s="19" t="s">
        <v>6</v>
      </c>
      <c r="G5" s="20"/>
      <c r="H5" s="19" t="s">
        <v>7</v>
      </c>
      <c r="I5" s="19"/>
      <c r="J5" s="30" t="s">
        <v>8</v>
      </c>
      <c r="K5" s="31"/>
      <c r="L5" s="31"/>
      <c r="M5" s="32"/>
    </row>
    <row r="6" s="3" customFormat="1" ht="20" customHeight="1" spans="1:13">
      <c r="A6" s="19"/>
      <c r="B6" s="19"/>
      <c r="C6" s="19"/>
      <c r="D6" s="19"/>
      <c r="E6" s="19"/>
      <c r="F6" s="19" t="s">
        <v>9</v>
      </c>
      <c r="G6" s="20" t="s">
        <v>10</v>
      </c>
      <c r="H6" s="19" t="s">
        <v>9</v>
      </c>
      <c r="I6" s="19" t="s">
        <v>10</v>
      </c>
      <c r="J6" s="30"/>
      <c r="K6" s="31"/>
      <c r="L6" s="31"/>
      <c r="M6" s="32"/>
    </row>
    <row r="7" s="3" customFormat="1" ht="42" customHeight="1" spans="1:13">
      <c r="A7" s="21">
        <v>1</v>
      </c>
      <c r="B7" s="22" t="s">
        <v>11</v>
      </c>
      <c r="C7" s="21" t="s">
        <v>12</v>
      </c>
      <c r="D7" s="21" t="s">
        <v>13</v>
      </c>
      <c r="E7" s="21">
        <v>1</v>
      </c>
      <c r="F7" s="21">
        <v>26770</v>
      </c>
      <c r="G7" s="23">
        <f>8750/1.13</f>
        <v>7743.36283185841</v>
      </c>
      <c r="H7" s="21">
        <f t="shared" ref="H7:H70" si="0">F7*E7</f>
        <v>26770</v>
      </c>
      <c r="I7" s="33">
        <f t="shared" ref="I7:I70" si="1">G7*E7</f>
        <v>7743.36283185841</v>
      </c>
      <c r="J7" s="21" t="s">
        <v>14</v>
      </c>
      <c r="K7" s="34"/>
      <c r="L7" s="34"/>
      <c r="M7" s="32"/>
    </row>
    <row r="8" s="3" customFormat="1" ht="42" customHeight="1" spans="1:13">
      <c r="A8" s="21">
        <v>2</v>
      </c>
      <c r="B8" s="22" t="s">
        <v>15</v>
      </c>
      <c r="C8" s="21" t="s">
        <v>16</v>
      </c>
      <c r="D8" s="21" t="s">
        <v>13</v>
      </c>
      <c r="E8" s="21">
        <v>1</v>
      </c>
      <c r="F8" s="21">
        <v>44770</v>
      </c>
      <c r="G8" s="23">
        <f>17500/1.13</f>
        <v>15486.7256637168</v>
      </c>
      <c r="H8" s="21">
        <f t="shared" si="0"/>
        <v>44770</v>
      </c>
      <c r="I8" s="33">
        <f t="shared" si="1"/>
        <v>15486.7256637168</v>
      </c>
      <c r="J8" s="21" t="s">
        <v>17</v>
      </c>
      <c r="K8" s="34"/>
      <c r="L8" s="34"/>
      <c r="M8" s="32"/>
    </row>
    <row r="9" s="3" customFormat="1" ht="50" customHeight="1" spans="1:13">
      <c r="A9" s="21">
        <v>3</v>
      </c>
      <c r="B9" s="22" t="s">
        <v>18</v>
      </c>
      <c r="C9" s="21" t="s">
        <v>19</v>
      </c>
      <c r="D9" s="21" t="s">
        <v>13</v>
      </c>
      <c r="E9" s="21">
        <v>1</v>
      </c>
      <c r="F9" s="21">
        <v>115320</v>
      </c>
      <c r="G9" s="23">
        <f>30600/1.13</f>
        <v>27079.6460176991</v>
      </c>
      <c r="H9" s="21">
        <f t="shared" si="0"/>
        <v>115320</v>
      </c>
      <c r="I9" s="33">
        <f t="shared" si="1"/>
        <v>27079.6460176991</v>
      </c>
      <c r="J9" s="21" t="s">
        <v>14</v>
      </c>
      <c r="K9" s="34"/>
      <c r="L9" s="34"/>
      <c r="M9" s="32"/>
    </row>
    <row r="10" s="3" customFormat="1" ht="50" customHeight="1" spans="1:13">
      <c r="A10" s="21">
        <v>4</v>
      </c>
      <c r="B10" s="22" t="s">
        <v>20</v>
      </c>
      <c r="C10" s="21" t="s">
        <v>21</v>
      </c>
      <c r="D10" s="21" t="s">
        <v>13</v>
      </c>
      <c r="E10" s="21">
        <v>1</v>
      </c>
      <c r="F10" s="21">
        <v>142820</v>
      </c>
      <c r="G10" s="23">
        <f>45600/1.13</f>
        <v>40353.982300885</v>
      </c>
      <c r="H10" s="21">
        <f t="shared" si="0"/>
        <v>142820</v>
      </c>
      <c r="I10" s="33">
        <f t="shared" si="1"/>
        <v>40353.982300885</v>
      </c>
      <c r="J10" s="21" t="s">
        <v>14</v>
      </c>
      <c r="K10" s="34"/>
      <c r="L10" s="34"/>
      <c r="M10" s="32"/>
    </row>
    <row r="11" s="3" customFormat="1" ht="50" customHeight="1" spans="1:13">
      <c r="A11" s="21">
        <v>5</v>
      </c>
      <c r="B11" s="22" t="s">
        <v>22</v>
      </c>
      <c r="C11" s="21" t="s">
        <v>23</v>
      </c>
      <c r="D11" s="21" t="s">
        <v>13</v>
      </c>
      <c r="E11" s="21">
        <v>1</v>
      </c>
      <c r="F11" s="21">
        <v>73440</v>
      </c>
      <c r="G11" s="23">
        <f>10360/1.13</f>
        <v>9168.14159292035</v>
      </c>
      <c r="H11" s="21">
        <f t="shared" si="0"/>
        <v>73440</v>
      </c>
      <c r="I11" s="33">
        <f t="shared" si="1"/>
        <v>9168.14159292035</v>
      </c>
      <c r="J11" s="21" t="s">
        <v>14</v>
      </c>
      <c r="K11" s="34"/>
      <c r="L11" s="34"/>
      <c r="M11" s="32"/>
    </row>
    <row r="12" s="3" customFormat="1" ht="50" customHeight="1" spans="1:13">
      <c r="A12" s="21">
        <v>6</v>
      </c>
      <c r="B12" s="22" t="s">
        <v>24</v>
      </c>
      <c r="C12" s="21" t="s">
        <v>25</v>
      </c>
      <c r="D12" s="21" t="s">
        <v>13</v>
      </c>
      <c r="E12" s="21">
        <v>2</v>
      </c>
      <c r="F12" s="21">
        <v>121660</v>
      </c>
      <c r="G12" s="23">
        <f>30200/1.13</f>
        <v>26725.6637168142</v>
      </c>
      <c r="H12" s="21">
        <f t="shared" si="0"/>
        <v>243320</v>
      </c>
      <c r="I12" s="33">
        <f t="shared" si="1"/>
        <v>53451.3274336283</v>
      </c>
      <c r="J12" s="21" t="s">
        <v>14</v>
      </c>
      <c r="K12" s="34"/>
      <c r="L12" s="34"/>
      <c r="M12" s="32"/>
    </row>
    <row r="13" s="3" customFormat="1" ht="50" customHeight="1" spans="1:13">
      <c r="A13" s="21">
        <v>7</v>
      </c>
      <c r="B13" s="22" t="s">
        <v>26</v>
      </c>
      <c r="C13" s="21" t="s">
        <v>27</v>
      </c>
      <c r="D13" s="21" t="s">
        <v>13</v>
      </c>
      <c r="E13" s="21">
        <v>1</v>
      </c>
      <c r="F13" s="21">
        <v>61680</v>
      </c>
      <c r="G13" s="23">
        <f>8640/1.13</f>
        <v>7646.01769911504</v>
      </c>
      <c r="H13" s="21">
        <f t="shared" si="0"/>
        <v>61680</v>
      </c>
      <c r="I13" s="33">
        <f t="shared" si="1"/>
        <v>7646.01769911504</v>
      </c>
      <c r="J13" s="21" t="s">
        <v>14</v>
      </c>
      <c r="K13" s="34"/>
      <c r="L13" s="34"/>
      <c r="M13" s="32"/>
    </row>
    <row r="14" s="3" customFormat="1" ht="50" customHeight="1" spans="1:13">
      <c r="A14" s="21">
        <v>8</v>
      </c>
      <c r="B14" s="22" t="s">
        <v>28</v>
      </c>
      <c r="C14" s="21" t="s">
        <v>29</v>
      </c>
      <c r="D14" s="21" t="s">
        <v>13</v>
      </c>
      <c r="E14" s="21">
        <v>1</v>
      </c>
      <c r="F14" s="21">
        <v>135800</v>
      </c>
      <c r="G14" s="23">
        <f>24920/1.13</f>
        <v>22053.0973451327</v>
      </c>
      <c r="H14" s="21">
        <f t="shared" si="0"/>
        <v>135800</v>
      </c>
      <c r="I14" s="33">
        <f t="shared" si="1"/>
        <v>22053.0973451327</v>
      </c>
      <c r="J14" s="21" t="s">
        <v>14</v>
      </c>
      <c r="K14" s="34"/>
      <c r="L14" s="34"/>
      <c r="M14" s="32"/>
    </row>
    <row r="15" s="3" customFormat="1" ht="34" customHeight="1" spans="1:13">
      <c r="A15" s="21">
        <v>9</v>
      </c>
      <c r="B15" s="24" t="s">
        <v>30</v>
      </c>
      <c r="C15" s="24" t="s">
        <v>31</v>
      </c>
      <c r="D15" s="21" t="s">
        <v>13</v>
      </c>
      <c r="E15" s="21">
        <v>2</v>
      </c>
      <c r="F15" s="24">
        <v>42600</v>
      </c>
      <c r="G15" s="25">
        <f>17250/1.13</f>
        <v>15265.4867256637</v>
      </c>
      <c r="H15" s="21">
        <f t="shared" si="0"/>
        <v>85200</v>
      </c>
      <c r="I15" s="33">
        <f t="shared" si="1"/>
        <v>30530.9734513274</v>
      </c>
      <c r="J15" s="21" t="s">
        <v>14</v>
      </c>
      <c r="K15" s="34"/>
      <c r="L15" s="34"/>
      <c r="M15" s="32"/>
    </row>
    <row r="16" s="3" customFormat="1" ht="34" customHeight="1" spans="1:13">
      <c r="A16" s="21">
        <v>10</v>
      </c>
      <c r="B16" s="24" t="s">
        <v>32</v>
      </c>
      <c r="C16" s="24" t="s">
        <v>33</v>
      </c>
      <c r="D16" s="21" t="s">
        <v>13</v>
      </c>
      <c r="E16" s="21">
        <v>1</v>
      </c>
      <c r="F16" s="24">
        <v>19800</v>
      </c>
      <c r="G16" s="25">
        <f>7360/1.13</f>
        <v>6513.27433628319</v>
      </c>
      <c r="H16" s="21">
        <f t="shared" si="0"/>
        <v>19800</v>
      </c>
      <c r="I16" s="33">
        <f t="shared" si="1"/>
        <v>6513.27433628319</v>
      </c>
      <c r="J16" s="21" t="s">
        <v>14</v>
      </c>
      <c r="K16" s="34"/>
      <c r="L16" s="34"/>
      <c r="M16" s="32"/>
    </row>
    <row r="17" s="3" customFormat="1" ht="34" customHeight="1" spans="1:13">
      <c r="A17" s="21">
        <v>11</v>
      </c>
      <c r="B17" s="24" t="s">
        <v>34</v>
      </c>
      <c r="C17" s="24" t="s">
        <v>35</v>
      </c>
      <c r="D17" s="21" t="s">
        <v>13</v>
      </c>
      <c r="E17" s="21">
        <v>2</v>
      </c>
      <c r="F17" s="24">
        <v>36550</v>
      </c>
      <c r="G17" s="25">
        <f>7000/1.13</f>
        <v>6194.69026548673</v>
      </c>
      <c r="H17" s="21">
        <f t="shared" si="0"/>
        <v>73100</v>
      </c>
      <c r="I17" s="33">
        <f t="shared" si="1"/>
        <v>12389.3805309735</v>
      </c>
      <c r="J17" s="21" t="s">
        <v>14</v>
      </c>
      <c r="K17" s="34"/>
      <c r="L17" s="34"/>
      <c r="M17" s="32"/>
    </row>
    <row r="18" s="3" customFormat="1" ht="34" customHeight="1" spans="1:13">
      <c r="A18" s="21">
        <v>12</v>
      </c>
      <c r="B18" s="24" t="s">
        <v>36</v>
      </c>
      <c r="C18" s="24" t="s">
        <v>37</v>
      </c>
      <c r="D18" s="21" t="s">
        <v>13</v>
      </c>
      <c r="E18" s="21">
        <v>1</v>
      </c>
      <c r="F18" s="24">
        <v>31550</v>
      </c>
      <c r="G18" s="25">
        <f>7360/1.13</f>
        <v>6513.27433628319</v>
      </c>
      <c r="H18" s="21">
        <f t="shared" si="0"/>
        <v>31550</v>
      </c>
      <c r="I18" s="33">
        <f t="shared" si="1"/>
        <v>6513.27433628319</v>
      </c>
      <c r="J18" s="21" t="s">
        <v>14</v>
      </c>
      <c r="K18" s="34"/>
      <c r="L18" s="34"/>
      <c r="M18" s="32"/>
    </row>
    <row r="19" s="3" customFormat="1" ht="34" customHeight="1" spans="1:13">
      <c r="A19" s="21">
        <v>13</v>
      </c>
      <c r="B19" s="24" t="s">
        <v>38</v>
      </c>
      <c r="C19" s="24" t="s">
        <v>39</v>
      </c>
      <c r="D19" s="21" t="s">
        <v>13</v>
      </c>
      <c r="E19" s="24">
        <v>1</v>
      </c>
      <c r="F19" s="24">
        <v>42550</v>
      </c>
      <c r="G19" s="25">
        <f>8400/1.13</f>
        <v>7433.62831858407</v>
      </c>
      <c r="H19" s="21">
        <f t="shared" si="0"/>
        <v>42550</v>
      </c>
      <c r="I19" s="33">
        <f t="shared" si="1"/>
        <v>7433.62831858407</v>
      </c>
      <c r="J19" s="21" t="s">
        <v>14</v>
      </c>
      <c r="K19" s="34"/>
      <c r="L19" s="34"/>
      <c r="M19" s="32"/>
    </row>
    <row r="20" s="3" customFormat="1" ht="34" customHeight="1" spans="1:13">
      <c r="A20" s="21">
        <v>14</v>
      </c>
      <c r="B20" s="24" t="s">
        <v>40</v>
      </c>
      <c r="C20" s="24" t="s">
        <v>41</v>
      </c>
      <c r="D20" s="21" t="s">
        <v>13</v>
      </c>
      <c r="E20" s="21">
        <v>2</v>
      </c>
      <c r="F20" s="24">
        <v>38550</v>
      </c>
      <c r="G20" s="25">
        <f>8400/1.13</f>
        <v>7433.62831858407</v>
      </c>
      <c r="H20" s="21">
        <f t="shared" si="0"/>
        <v>77100</v>
      </c>
      <c r="I20" s="33">
        <f t="shared" si="1"/>
        <v>14867.2566371681</v>
      </c>
      <c r="J20" s="21" t="s">
        <v>14</v>
      </c>
      <c r="K20" s="34"/>
      <c r="L20" s="34"/>
      <c r="M20" s="32"/>
    </row>
    <row r="21" s="3" customFormat="1" ht="62" customHeight="1" spans="1:13">
      <c r="A21" s="21">
        <v>15</v>
      </c>
      <c r="B21" s="24" t="s">
        <v>42</v>
      </c>
      <c r="C21" s="24" t="s">
        <v>43</v>
      </c>
      <c r="D21" s="22" t="s">
        <v>13</v>
      </c>
      <c r="E21" s="24">
        <v>4</v>
      </c>
      <c r="F21" s="24">
        <v>389000</v>
      </c>
      <c r="G21" s="25">
        <f>398000/1.03</f>
        <v>386407.766990291</v>
      </c>
      <c r="H21" s="22">
        <f t="shared" si="0"/>
        <v>1556000</v>
      </c>
      <c r="I21" s="23">
        <f t="shared" si="1"/>
        <v>1545631.06796116</v>
      </c>
      <c r="J21" s="21" t="s">
        <v>14</v>
      </c>
      <c r="K21" s="35"/>
      <c r="L21" s="34"/>
      <c r="M21" s="32"/>
    </row>
    <row r="22" s="3" customFormat="1" ht="45" customHeight="1" spans="1:13">
      <c r="A22" s="21">
        <v>16</v>
      </c>
      <c r="B22" s="24" t="s">
        <v>44</v>
      </c>
      <c r="C22" s="24" t="s">
        <v>45</v>
      </c>
      <c r="D22" s="21" t="s">
        <v>13</v>
      </c>
      <c r="E22" s="24">
        <f>8+5+4+11+12</f>
        <v>40</v>
      </c>
      <c r="F22" s="24">
        <v>808</v>
      </c>
      <c r="G22" s="25">
        <f>920/1.13*0+808</f>
        <v>808</v>
      </c>
      <c r="H22" s="21">
        <f t="shared" si="0"/>
        <v>32320</v>
      </c>
      <c r="I22" s="33">
        <f t="shared" si="1"/>
        <v>32320</v>
      </c>
      <c r="J22" s="21" t="s">
        <v>14</v>
      </c>
      <c r="K22" s="34"/>
      <c r="L22" s="34"/>
      <c r="M22" s="32"/>
    </row>
    <row r="23" s="3" customFormat="1" ht="45" customHeight="1" spans="1:13">
      <c r="A23" s="21">
        <v>17</v>
      </c>
      <c r="B23" s="24" t="s">
        <v>46</v>
      </c>
      <c r="C23" s="24" t="s">
        <v>47</v>
      </c>
      <c r="D23" s="21" t="s">
        <v>13</v>
      </c>
      <c r="E23" s="24">
        <f>8+5</f>
        <v>13</v>
      </c>
      <c r="F23" s="24">
        <v>1020</v>
      </c>
      <c r="G23" s="25">
        <f>1160/1.13*0+1020</f>
        <v>1020</v>
      </c>
      <c r="H23" s="21">
        <f t="shared" si="0"/>
        <v>13260</v>
      </c>
      <c r="I23" s="33">
        <f t="shared" si="1"/>
        <v>13260</v>
      </c>
      <c r="J23" s="21" t="s">
        <v>14</v>
      </c>
      <c r="K23" s="34"/>
      <c r="L23" s="34"/>
      <c r="M23" s="32"/>
    </row>
    <row r="24" s="3" customFormat="1" ht="45" customHeight="1" spans="1:13">
      <c r="A24" s="21">
        <v>18</v>
      </c>
      <c r="B24" s="24" t="s">
        <v>48</v>
      </c>
      <c r="C24" s="24" t="s">
        <v>49</v>
      </c>
      <c r="D24" s="21" t="s">
        <v>13</v>
      </c>
      <c r="E24" s="24">
        <f>12+7+3</f>
        <v>22</v>
      </c>
      <c r="F24" s="25">
        <v>1055</v>
      </c>
      <c r="G24" s="25">
        <f>1280/1.13*0+1055</f>
        <v>1055</v>
      </c>
      <c r="H24" s="21">
        <f t="shared" si="0"/>
        <v>23210</v>
      </c>
      <c r="I24" s="33">
        <f t="shared" si="1"/>
        <v>23210</v>
      </c>
      <c r="J24" s="21" t="s">
        <v>14</v>
      </c>
      <c r="K24" s="34"/>
      <c r="L24" s="34"/>
      <c r="M24" s="32"/>
    </row>
    <row r="25" s="3" customFormat="1" ht="45" customHeight="1" spans="1:13">
      <c r="A25" s="21">
        <v>19</v>
      </c>
      <c r="B25" s="24" t="s">
        <v>50</v>
      </c>
      <c r="C25" s="24" t="s">
        <v>51</v>
      </c>
      <c r="D25" s="21" t="s">
        <v>13</v>
      </c>
      <c r="E25" s="24">
        <f>36+23+10</f>
        <v>69</v>
      </c>
      <c r="F25" s="25">
        <v>1095</v>
      </c>
      <c r="G25" s="25">
        <f>1350/1.13*0+1095</f>
        <v>1095</v>
      </c>
      <c r="H25" s="21">
        <f t="shared" si="0"/>
        <v>75555</v>
      </c>
      <c r="I25" s="33">
        <f t="shared" si="1"/>
        <v>75555</v>
      </c>
      <c r="J25" s="21" t="s">
        <v>14</v>
      </c>
      <c r="K25" s="34"/>
      <c r="L25" s="34"/>
      <c r="M25" s="32"/>
    </row>
    <row r="26" s="3" customFormat="1" ht="51" customHeight="1" spans="1:13">
      <c r="A26" s="21">
        <v>20</v>
      </c>
      <c r="B26" s="24" t="s">
        <v>52</v>
      </c>
      <c r="C26" s="24" t="s">
        <v>53</v>
      </c>
      <c r="D26" s="21" t="s">
        <v>13</v>
      </c>
      <c r="E26" s="24">
        <v>3</v>
      </c>
      <c r="F26" s="24">
        <v>1296</v>
      </c>
      <c r="G26" s="25">
        <f>1450/1.13</f>
        <v>1283.18584070796</v>
      </c>
      <c r="H26" s="21">
        <f t="shared" si="0"/>
        <v>3888</v>
      </c>
      <c r="I26" s="33">
        <f t="shared" si="1"/>
        <v>3849.55752212389</v>
      </c>
      <c r="J26" s="21" t="s">
        <v>14</v>
      </c>
      <c r="K26" s="34"/>
      <c r="L26" s="34"/>
      <c r="M26" s="32"/>
    </row>
    <row r="27" s="3" customFormat="1" ht="53" customHeight="1" spans="1:13">
      <c r="A27" s="21">
        <v>21</v>
      </c>
      <c r="B27" s="24" t="s">
        <v>54</v>
      </c>
      <c r="C27" s="24" t="s">
        <v>55</v>
      </c>
      <c r="D27" s="21" t="s">
        <v>13</v>
      </c>
      <c r="E27" s="24">
        <f>2+19+7+3+6</f>
        <v>37</v>
      </c>
      <c r="F27" s="24">
        <v>1650</v>
      </c>
      <c r="G27" s="25">
        <f>1650/1.13</f>
        <v>1460.17699115044</v>
      </c>
      <c r="H27" s="21">
        <f t="shared" si="0"/>
        <v>61050</v>
      </c>
      <c r="I27" s="33">
        <f t="shared" si="1"/>
        <v>54026.5486725664</v>
      </c>
      <c r="J27" s="21" t="s">
        <v>14</v>
      </c>
      <c r="K27" s="34"/>
      <c r="L27" s="34"/>
      <c r="M27" s="32"/>
    </row>
    <row r="28" s="3" customFormat="1" ht="34" customHeight="1" spans="1:13">
      <c r="A28" s="21">
        <v>22</v>
      </c>
      <c r="B28" s="24" t="s">
        <v>56</v>
      </c>
      <c r="C28" s="24" t="s">
        <v>57</v>
      </c>
      <c r="D28" s="21" t="s">
        <v>13</v>
      </c>
      <c r="E28" s="24">
        <f>1+1</f>
        <v>2</v>
      </c>
      <c r="F28" s="24">
        <v>4500</v>
      </c>
      <c r="G28" s="25">
        <f>3118/1.13</f>
        <v>2759.29203539823</v>
      </c>
      <c r="H28" s="21">
        <f t="shared" si="0"/>
        <v>9000</v>
      </c>
      <c r="I28" s="33">
        <f t="shared" si="1"/>
        <v>5518.58407079646</v>
      </c>
      <c r="J28" s="21" t="s">
        <v>58</v>
      </c>
      <c r="K28" s="34"/>
      <c r="L28" s="34"/>
      <c r="M28" s="32"/>
    </row>
    <row r="29" s="3" customFormat="1" ht="34" customHeight="1" spans="1:13">
      <c r="A29" s="21">
        <v>23</v>
      </c>
      <c r="B29" s="24" t="s">
        <v>56</v>
      </c>
      <c r="C29" s="24" t="s">
        <v>59</v>
      </c>
      <c r="D29" s="21" t="s">
        <v>13</v>
      </c>
      <c r="E29" s="24">
        <v>1</v>
      </c>
      <c r="F29" s="24">
        <v>5800</v>
      </c>
      <c r="G29" s="25">
        <f>5000/1.13</f>
        <v>4424.77876106195</v>
      </c>
      <c r="H29" s="21">
        <f t="shared" si="0"/>
        <v>5800</v>
      </c>
      <c r="I29" s="33">
        <f t="shared" si="1"/>
        <v>4424.77876106195</v>
      </c>
      <c r="J29" s="21" t="s">
        <v>58</v>
      </c>
      <c r="K29" s="34"/>
      <c r="L29" s="34"/>
      <c r="M29" s="32"/>
    </row>
    <row r="30" s="3" customFormat="1" ht="34" customHeight="1" spans="1:13">
      <c r="A30" s="21">
        <v>24</v>
      </c>
      <c r="B30" s="24" t="s">
        <v>60</v>
      </c>
      <c r="C30" s="24" t="s">
        <v>61</v>
      </c>
      <c r="D30" s="21" t="s">
        <v>13</v>
      </c>
      <c r="E30" s="24">
        <f>33+69+34+24+26</f>
        <v>186</v>
      </c>
      <c r="F30" s="24">
        <v>180</v>
      </c>
      <c r="G30" s="25">
        <f>500/1.13*0+180</f>
        <v>180</v>
      </c>
      <c r="H30" s="21">
        <f t="shared" si="0"/>
        <v>33480</v>
      </c>
      <c r="I30" s="33">
        <f t="shared" si="1"/>
        <v>33480</v>
      </c>
      <c r="J30" s="21" t="s">
        <v>62</v>
      </c>
      <c r="K30" s="34"/>
      <c r="L30" s="34"/>
      <c r="M30" s="32"/>
    </row>
    <row r="31" s="3" customFormat="1" ht="36" customHeight="1" spans="1:13">
      <c r="A31" s="21">
        <v>25</v>
      </c>
      <c r="B31" s="24" t="s">
        <v>63</v>
      </c>
      <c r="C31" s="24" t="s">
        <v>64</v>
      </c>
      <c r="D31" s="21" t="s">
        <v>13</v>
      </c>
      <c r="E31" s="24">
        <f>12+16+7+12</f>
        <v>47</v>
      </c>
      <c r="F31" s="24">
        <v>11350</v>
      </c>
      <c r="G31" s="25">
        <f>21800/1.13*0+11350</f>
        <v>11350</v>
      </c>
      <c r="H31" s="21">
        <f t="shared" si="0"/>
        <v>533450</v>
      </c>
      <c r="I31" s="33">
        <f t="shared" si="1"/>
        <v>533450</v>
      </c>
      <c r="J31" s="21" t="s">
        <v>17</v>
      </c>
      <c r="K31" s="34"/>
      <c r="L31" s="34"/>
      <c r="M31" s="32"/>
    </row>
    <row r="32" s="3" customFormat="1" ht="36" customHeight="1" spans="1:13">
      <c r="A32" s="21">
        <v>26</v>
      </c>
      <c r="B32" s="24" t="s">
        <v>65</v>
      </c>
      <c r="C32" s="24" t="s">
        <v>66</v>
      </c>
      <c r="D32" s="21" t="s">
        <v>13</v>
      </c>
      <c r="E32" s="24">
        <f>21+6+4</f>
        <v>31</v>
      </c>
      <c r="F32" s="24">
        <v>30500</v>
      </c>
      <c r="G32" s="25">
        <f>32800/1.13</f>
        <v>29026.5486725664</v>
      </c>
      <c r="H32" s="21">
        <f t="shared" si="0"/>
        <v>945500</v>
      </c>
      <c r="I32" s="33">
        <f t="shared" si="1"/>
        <v>899823.008849558</v>
      </c>
      <c r="J32" s="21" t="s">
        <v>17</v>
      </c>
      <c r="K32" s="34"/>
      <c r="L32" s="34"/>
      <c r="M32" s="32"/>
    </row>
    <row r="33" s="3" customFormat="1" ht="36" customHeight="1" spans="1:13">
      <c r="A33" s="21">
        <v>27</v>
      </c>
      <c r="B33" s="24" t="s">
        <v>67</v>
      </c>
      <c r="C33" s="24" t="s">
        <v>68</v>
      </c>
      <c r="D33" s="21" t="s">
        <v>13</v>
      </c>
      <c r="E33" s="24">
        <v>3</v>
      </c>
      <c r="F33" s="24">
        <v>25300</v>
      </c>
      <c r="G33" s="25">
        <f>26520/1.13</f>
        <v>23469.0265486726</v>
      </c>
      <c r="H33" s="21">
        <f t="shared" si="0"/>
        <v>75900</v>
      </c>
      <c r="I33" s="33">
        <f t="shared" si="1"/>
        <v>70407.0796460177</v>
      </c>
      <c r="J33" s="21" t="s">
        <v>17</v>
      </c>
      <c r="K33" s="34"/>
      <c r="L33" s="34"/>
      <c r="M33" s="32"/>
    </row>
    <row r="34" s="3" customFormat="1" ht="36" customHeight="1" spans="1:13">
      <c r="A34" s="21">
        <v>28</v>
      </c>
      <c r="B34" s="24" t="s">
        <v>69</v>
      </c>
      <c r="C34" s="24" t="s">
        <v>70</v>
      </c>
      <c r="D34" s="21" t="s">
        <v>13</v>
      </c>
      <c r="E34" s="24">
        <v>2</v>
      </c>
      <c r="F34" s="24">
        <v>23375</v>
      </c>
      <c r="G34" s="25">
        <f>23850/1.13</f>
        <v>21106.1946902655</v>
      </c>
      <c r="H34" s="21">
        <f t="shared" si="0"/>
        <v>46750</v>
      </c>
      <c r="I34" s="33">
        <f t="shared" si="1"/>
        <v>42212.389380531</v>
      </c>
      <c r="J34" s="21" t="s">
        <v>17</v>
      </c>
      <c r="K34" s="34"/>
      <c r="L34" s="34"/>
      <c r="M34" s="32"/>
    </row>
    <row r="35" s="3" customFormat="1" ht="29" customHeight="1" spans="1:13">
      <c r="A35" s="21">
        <v>29</v>
      </c>
      <c r="B35" s="24" t="s">
        <v>71</v>
      </c>
      <c r="C35" s="24" t="s">
        <v>72</v>
      </c>
      <c r="D35" s="21" t="s">
        <v>73</v>
      </c>
      <c r="E35" s="24">
        <v>2</v>
      </c>
      <c r="F35" s="24">
        <v>3960</v>
      </c>
      <c r="G35" s="25">
        <f>3850/1.13</f>
        <v>3407.0796460177</v>
      </c>
      <c r="H35" s="21">
        <f t="shared" si="0"/>
        <v>7920</v>
      </c>
      <c r="I35" s="33">
        <f t="shared" si="1"/>
        <v>6814.1592920354</v>
      </c>
      <c r="J35" s="21" t="s">
        <v>17</v>
      </c>
      <c r="K35" s="34"/>
      <c r="L35" s="34"/>
      <c r="M35" s="32"/>
    </row>
    <row r="36" s="3" customFormat="1" ht="29" customHeight="1" spans="1:13">
      <c r="A36" s="21">
        <v>30</v>
      </c>
      <c r="B36" s="24" t="s">
        <v>71</v>
      </c>
      <c r="C36" s="24" t="s">
        <v>74</v>
      </c>
      <c r="D36" s="21" t="s">
        <v>73</v>
      </c>
      <c r="E36" s="24">
        <v>1</v>
      </c>
      <c r="F36" s="24">
        <v>3960</v>
      </c>
      <c r="G36" s="25">
        <f>4050/1.13</f>
        <v>3584.07079646018</v>
      </c>
      <c r="H36" s="21">
        <f t="shared" si="0"/>
        <v>3960</v>
      </c>
      <c r="I36" s="33">
        <f t="shared" si="1"/>
        <v>3584.07079646018</v>
      </c>
      <c r="J36" s="21" t="s">
        <v>17</v>
      </c>
      <c r="K36" s="34"/>
      <c r="L36" s="34"/>
      <c r="M36" s="32"/>
    </row>
    <row r="37" s="3" customFormat="1" ht="29" customHeight="1" spans="1:13">
      <c r="A37" s="21">
        <v>31</v>
      </c>
      <c r="B37" s="24" t="s">
        <v>71</v>
      </c>
      <c r="C37" s="24" t="s">
        <v>75</v>
      </c>
      <c r="D37" s="21" t="s">
        <v>73</v>
      </c>
      <c r="E37" s="24">
        <v>2</v>
      </c>
      <c r="F37" s="24">
        <v>3960</v>
      </c>
      <c r="G37" s="25">
        <f>4520/1.13*0+3960</f>
        <v>3960</v>
      </c>
      <c r="H37" s="21">
        <f t="shared" si="0"/>
        <v>7920</v>
      </c>
      <c r="I37" s="33">
        <f t="shared" si="1"/>
        <v>7920</v>
      </c>
      <c r="J37" s="21" t="s">
        <v>17</v>
      </c>
      <c r="K37" s="34"/>
      <c r="L37" s="34"/>
      <c r="M37" s="32"/>
    </row>
    <row r="38" s="3" customFormat="1" ht="29" customHeight="1" spans="1:13">
      <c r="A38" s="21">
        <v>32</v>
      </c>
      <c r="B38" s="24" t="s">
        <v>71</v>
      </c>
      <c r="C38" s="24" t="s">
        <v>76</v>
      </c>
      <c r="D38" s="21" t="s">
        <v>73</v>
      </c>
      <c r="E38" s="24">
        <v>1</v>
      </c>
      <c r="F38" s="24">
        <v>3960</v>
      </c>
      <c r="G38" s="25">
        <f>4280/1.13</f>
        <v>3787.61061946903</v>
      </c>
      <c r="H38" s="21">
        <f t="shared" si="0"/>
        <v>3960</v>
      </c>
      <c r="I38" s="33">
        <f t="shared" si="1"/>
        <v>3787.61061946903</v>
      </c>
      <c r="J38" s="21" t="s">
        <v>17</v>
      </c>
      <c r="K38" s="34"/>
      <c r="L38" s="34"/>
      <c r="M38" s="32"/>
    </row>
    <row r="39" s="3" customFormat="1" ht="31" customHeight="1" spans="1:13">
      <c r="A39" s="21">
        <v>33</v>
      </c>
      <c r="B39" s="24" t="s">
        <v>77</v>
      </c>
      <c r="C39" s="24" t="s">
        <v>78</v>
      </c>
      <c r="D39" s="21" t="s">
        <v>13</v>
      </c>
      <c r="E39" s="24">
        <v>3</v>
      </c>
      <c r="F39" s="24">
        <v>26500</v>
      </c>
      <c r="G39" s="25">
        <f>25000/1.13</f>
        <v>22123.8938053097</v>
      </c>
      <c r="H39" s="21">
        <f t="shared" si="0"/>
        <v>79500</v>
      </c>
      <c r="I39" s="33">
        <f t="shared" si="1"/>
        <v>66371.6814159292</v>
      </c>
      <c r="J39" s="21" t="s">
        <v>58</v>
      </c>
      <c r="K39" s="34"/>
      <c r="L39" s="34"/>
      <c r="M39" s="32"/>
    </row>
    <row r="40" s="3" customFormat="1" ht="31" customHeight="1" spans="1:13">
      <c r="A40" s="21">
        <v>34</v>
      </c>
      <c r="B40" s="24" t="s">
        <v>79</v>
      </c>
      <c r="C40" s="24" t="s">
        <v>80</v>
      </c>
      <c r="D40" s="21" t="s">
        <v>13</v>
      </c>
      <c r="E40" s="24">
        <v>1</v>
      </c>
      <c r="F40" s="24">
        <v>4850</v>
      </c>
      <c r="G40" s="25">
        <v>4850</v>
      </c>
      <c r="H40" s="21">
        <f t="shared" si="0"/>
        <v>4850</v>
      </c>
      <c r="I40" s="33">
        <f t="shared" si="1"/>
        <v>4850</v>
      </c>
      <c r="J40" s="21" t="s">
        <v>58</v>
      </c>
      <c r="K40" s="34"/>
      <c r="L40" s="34"/>
      <c r="M40" s="32"/>
    </row>
    <row r="41" s="3" customFormat="1" ht="31" customHeight="1" spans="1:13">
      <c r="A41" s="21">
        <v>35</v>
      </c>
      <c r="B41" s="24" t="s">
        <v>81</v>
      </c>
      <c r="C41" s="24" t="s">
        <v>82</v>
      </c>
      <c r="D41" s="21" t="s">
        <v>13</v>
      </c>
      <c r="E41" s="24">
        <v>1</v>
      </c>
      <c r="F41" s="24">
        <v>4058</v>
      </c>
      <c r="G41" s="25">
        <f>4200/1.13</f>
        <v>3716.81415929204</v>
      </c>
      <c r="H41" s="21">
        <f t="shared" si="0"/>
        <v>4058</v>
      </c>
      <c r="I41" s="33">
        <f t="shared" si="1"/>
        <v>3716.81415929204</v>
      </c>
      <c r="J41" s="21" t="s">
        <v>17</v>
      </c>
      <c r="K41" s="34"/>
      <c r="L41" s="34"/>
      <c r="M41" s="32"/>
    </row>
    <row r="42" s="3" customFormat="1" ht="31" customHeight="1" spans="1:13">
      <c r="A42" s="21">
        <v>36</v>
      </c>
      <c r="B42" s="24" t="s">
        <v>81</v>
      </c>
      <c r="C42" s="24" t="s">
        <v>83</v>
      </c>
      <c r="D42" s="21" t="s">
        <v>13</v>
      </c>
      <c r="E42" s="24">
        <v>4</v>
      </c>
      <c r="F42" s="24">
        <v>3876</v>
      </c>
      <c r="G42" s="25">
        <f>4500/1.13*0+3876</f>
        <v>3876</v>
      </c>
      <c r="H42" s="21">
        <f t="shared" si="0"/>
        <v>15504</v>
      </c>
      <c r="I42" s="33">
        <f t="shared" si="1"/>
        <v>15504</v>
      </c>
      <c r="J42" s="21" t="s">
        <v>17</v>
      </c>
      <c r="K42" s="34"/>
      <c r="L42" s="34"/>
      <c r="M42" s="32"/>
    </row>
    <row r="43" s="3" customFormat="1" ht="31" customHeight="1" spans="1:13">
      <c r="A43" s="21">
        <v>37</v>
      </c>
      <c r="B43" s="24" t="s">
        <v>81</v>
      </c>
      <c r="C43" s="24" t="s">
        <v>84</v>
      </c>
      <c r="D43" s="21" t="s">
        <v>13</v>
      </c>
      <c r="E43" s="24">
        <v>2</v>
      </c>
      <c r="F43" s="24">
        <v>2764</v>
      </c>
      <c r="G43" s="25">
        <f>2850/1.13</f>
        <v>2522.12389380531</v>
      </c>
      <c r="H43" s="21">
        <f t="shared" si="0"/>
        <v>5528</v>
      </c>
      <c r="I43" s="33">
        <f t="shared" si="1"/>
        <v>5044.24778761062</v>
      </c>
      <c r="J43" s="21" t="s">
        <v>17</v>
      </c>
      <c r="K43" s="34"/>
      <c r="L43" s="34"/>
      <c r="M43" s="32"/>
    </row>
    <row r="44" s="3" customFormat="1" ht="31" customHeight="1" spans="1:13">
      <c r="A44" s="21">
        <v>38</v>
      </c>
      <c r="B44" s="24" t="s">
        <v>81</v>
      </c>
      <c r="C44" s="24" t="s">
        <v>85</v>
      </c>
      <c r="D44" s="21" t="s">
        <v>13</v>
      </c>
      <c r="E44" s="24">
        <v>2</v>
      </c>
      <c r="F44" s="24">
        <v>2030</v>
      </c>
      <c r="G44" s="25">
        <f>2420/1.13*0+2030</f>
        <v>2030</v>
      </c>
      <c r="H44" s="21">
        <f t="shared" si="0"/>
        <v>4060</v>
      </c>
      <c r="I44" s="33">
        <f t="shared" si="1"/>
        <v>4060</v>
      </c>
      <c r="J44" s="21" t="s">
        <v>17</v>
      </c>
      <c r="K44" s="34"/>
      <c r="L44" s="34"/>
      <c r="M44" s="32"/>
    </row>
    <row r="45" s="3" customFormat="1" ht="31" customHeight="1" spans="1:13">
      <c r="A45" s="21">
        <v>39</v>
      </c>
      <c r="B45" s="24" t="s">
        <v>86</v>
      </c>
      <c r="C45" s="24" t="s">
        <v>87</v>
      </c>
      <c r="D45" s="21" t="s">
        <v>13</v>
      </c>
      <c r="E45" s="24">
        <v>1</v>
      </c>
      <c r="F45" s="24">
        <v>0</v>
      </c>
      <c r="G45" s="25">
        <f>1560/1.13</f>
        <v>1380.53097345133</v>
      </c>
      <c r="H45" s="21">
        <f t="shared" si="0"/>
        <v>0</v>
      </c>
      <c r="I45" s="33">
        <f t="shared" si="1"/>
        <v>1380.53097345133</v>
      </c>
      <c r="J45" s="21" t="s">
        <v>17</v>
      </c>
      <c r="K45" s="34"/>
      <c r="L45" s="34"/>
      <c r="M45" s="32"/>
    </row>
    <row r="46" s="3" customFormat="1" ht="31" customHeight="1" spans="1:13">
      <c r="A46" s="21">
        <v>40</v>
      </c>
      <c r="B46" s="24" t="s">
        <v>81</v>
      </c>
      <c r="C46" s="24" t="s">
        <v>87</v>
      </c>
      <c r="D46" s="21" t="s">
        <v>13</v>
      </c>
      <c r="E46" s="24">
        <v>6</v>
      </c>
      <c r="F46" s="24">
        <v>870</v>
      </c>
      <c r="G46" s="25">
        <f>850/1.13</f>
        <v>752.212389380531</v>
      </c>
      <c r="H46" s="21">
        <f t="shared" si="0"/>
        <v>5220</v>
      </c>
      <c r="I46" s="33">
        <f t="shared" si="1"/>
        <v>4513.27433628319</v>
      </c>
      <c r="J46" s="21" t="s">
        <v>17</v>
      </c>
      <c r="K46" s="34"/>
      <c r="L46" s="34"/>
      <c r="M46" s="32"/>
    </row>
    <row r="47" s="3" customFormat="1" ht="31" customHeight="1" spans="1:13">
      <c r="A47" s="21">
        <v>41</v>
      </c>
      <c r="B47" s="24" t="s">
        <v>81</v>
      </c>
      <c r="C47" s="24" t="s">
        <v>88</v>
      </c>
      <c r="D47" s="21" t="s">
        <v>13</v>
      </c>
      <c r="E47" s="24">
        <f>15+5</f>
        <v>20</v>
      </c>
      <c r="F47" s="24">
        <v>870</v>
      </c>
      <c r="G47" s="25">
        <f>880/1.13</f>
        <v>778.761061946903</v>
      </c>
      <c r="H47" s="21">
        <f t="shared" si="0"/>
        <v>17400</v>
      </c>
      <c r="I47" s="33">
        <f t="shared" si="1"/>
        <v>15575.2212389381</v>
      </c>
      <c r="J47" s="21" t="s">
        <v>17</v>
      </c>
      <c r="K47" s="34"/>
      <c r="L47" s="34"/>
      <c r="M47" s="32"/>
    </row>
    <row r="48" s="3" customFormat="1" ht="31" customHeight="1" spans="1:13">
      <c r="A48" s="21">
        <v>42</v>
      </c>
      <c r="B48" s="24" t="s">
        <v>81</v>
      </c>
      <c r="C48" s="24" t="s">
        <v>89</v>
      </c>
      <c r="D48" s="21" t="s">
        <v>13</v>
      </c>
      <c r="E48" s="24">
        <f>1+2+4+3</f>
        <v>10</v>
      </c>
      <c r="F48" s="24">
        <v>1500</v>
      </c>
      <c r="G48" s="25">
        <f>1520/1.13</f>
        <v>1345.13274336283</v>
      </c>
      <c r="H48" s="21">
        <f t="shared" si="0"/>
        <v>15000</v>
      </c>
      <c r="I48" s="33">
        <f t="shared" si="1"/>
        <v>13451.3274336283</v>
      </c>
      <c r="J48" s="21" t="s">
        <v>17</v>
      </c>
      <c r="K48" s="34"/>
      <c r="L48" s="34"/>
      <c r="M48" s="32"/>
    </row>
    <row r="49" s="3" customFormat="1" ht="31" customHeight="1" spans="1:13">
      <c r="A49" s="21">
        <v>43</v>
      </c>
      <c r="B49" s="24" t="s">
        <v>81</v>
      </c>
      <c r="C49" s="24" t="s">
        <v>90</v>
      </c>
      <c r="D49" s="21" t="s">
        <v>13</v>
      </c>
      <c r="E49" s="24">
        <f>1+1+1</f>
        <v>3</v>
      </c>
      <c r="F49" s="24">
        <v>2138</v>
      </c>
      <c r="G49" s="25">
        <f>1980/1.13</f>
        <v>1752.21238938053</v>
      </c>
      <c r="H49" s="21">
        <f t="shared" si="0"/>
        <v>6414</v>
      </c>
      <c r="I49" s="33">
        <f t="shared" si="1"/>
        <v>5256.63716814159</v>
      </c>
      <c r="J49" s="21" t="s">
        <v>17</v>
      </c>
      <c r="K49" s="34"/>
      <c r="L49" s="34"/>
      <c r="M49" s="32"/>
    </row>
    <row r="50" s="3" customFormat="1" ht="31" customHeight="1" spans="1:13">
      <c r="A50" s="21">
        <v>44</v>
      </c>
      <c r="B50" s="24" t="s">
        <v>81</v>
      </c>
      <c r="C50" s="24" t="s">
        <v>91</v>
      </c>
      <c r="D50" s="21" t="s">
        <v>13</v>
      </c>
      <c r="E50" s="24">
        <f>1+1</f>
        <v>2</v>
      </c>
      <c r="F50" s="24">
        <v>520</v>
      </c>
      <c r="G50" s="25">
        <f>650/1.13*0+520</f>
        <v>520</v>
      </c>
      <c r="H50" s="21">
        <f t="shared" si="0"/>
        <v>1040</v>
      </c>
      <c r="I50" s="33">
        <f t="shared" si="1"/>
        <v>1040</v>
      </c>
      <c r="J50" s="21" t="s">
        <v>17</v>
      </c>
      <c r="K50" s="34"/>
      <c r="L50" s="34"/>
      <c r="M50" s="32"/>
    </row>
    <row r="51" s="3" customFormat="1" ht="31" customHeight="1" spans="1:13">
      <c r="A51" s="21">
        <v>45</v>
      </c>
      <c r="B51" s="24" t="s">
        <v>81</v>
      </c>
      <c r="C51" s="24" t="s">
        <v>92</v>
      </c>
      <c r="D51" s="21" t="s">
        <v>13</v>
      </c>
      <c r="E51" s="24">
        <v>1</v>
      </c>
      <c r="F51" s="24">
        <v>1044</v>
      </c>
      <c r="G51" s="25">
        <f>1250/1.13*0+1044</f>
        <v>1044</v>
      </c>
      <c r="H51" s="21">
        <f t="shared" si="0"/>
        <v>1044</v>
      </c>
      <c r="I51" s="33">
        <f t="shared" si="1"/>
        <v>1044</v>
      </c>
      <c r="J51" s="21" t="s">
        <v>17</v>
      </c>
      <c r="K51" s="34"/>
      <c r="L51" s="34"/>
      <c r="M51" s="32"/>
    </row>
    <row r="52" s="3" customFormat="1" ht="31" customHeight="1" spans="1:13">
      <c r="A52" s="21">
        <v>46</v>
      </c>
      <c r="B52" s="24" t="s">
        <v>93</v>
      </c>
      <c r="C52" s="24" t="s">
        <v>94</v>
      </c>
      <c r="D52" s="21" t="s">
        <v>13</v>
      </c>
      <c r="E52" s="24">
        <v>1</v>
      </c>
      <c r="F52" s="24">
        <v>1250</v>
      </c>
      <c r="G52" s="25">
        <f>1450/1.13*0+1250</f>
        <v>1250</v>
      </c>
      <c r="H52" s="21">
        <f t="shared" si="0"/>
        <v>1250</v>
      </c>
      <c r="I52" s="33">
        <f t="shared" si="1"/>
        <v>1250</v>
      </c>
      <c r="J52" s="21" t="s">
        <v>17</v>
      </c>
      <c r="K52" s="34"/>
      <c r="L52" s="34"/>
      <c r="M52" s="32"/>
    </row>
    <row r="53" s="3" customFormat="1" ht="31" customHeight="1" spans="1:13">
      <c r="A53" s="21">
        <v>47</v>
      </c>
      <c r="B53" s="24" t="s">
        <v>95</v>
      </c>
      <c r="C53" s="24" t="s">
        <v>96</v>
      </c>
      <c r="D53" s="21" t="s">
        <v>97</v>
      </c>
      <c r="E53" s="24">
        <f>1+1</f>
        <v>2</v>
      </c>
      <c r="F53" s="24">
        <v>215000</v>
      </c>
      <c r="G53" s="25">
        <f>191600/1.13</f>
        <v>169557.522123894</v>
      </c>
      <c r="H53" s="21">
        <f t="shared" si="0"/>
        <v>430000</v>
      </c>
      <c r="I53" s="33">
        <f t="shared" si="1"/>
        <v>339115.044247788</v>
      </c>
      <c r="J53" s="21" t="s">
        <v>58</v>
      </c>
      <c r="K53" s="34"/>
      <c r="L53" s="34"/>
      <c r="M53" s="32"/>
    </row>
    <row r="54" s="3" customFormat="1" ht="31" customHeight="1" spans="1:13">
      <c r="A54" s="21">
        <v>48</v>
      </c>
      <c r="B54" s="24" t="s">
        <v>95</v>
      </c>
      <c r="C54" s="24" t="s">
        <v>98</v>
      </c>
      <c r="D54" s="21" t="s">
        <v>97</v>
      </c>
      <c r="E54" s="24">
        <v>1</v>
      </c>
      <c r="F54" s="24">
        <v>105000</v>
      </c>
      <c r="G54" s="25">
        <f>108900/1.13</f>
        <v>96371.6814159292</v>
      </c>
      <c r="H54" s="21">
        <f t="shared" si="0"/>
        <v>105000</v>
      </c>
      <c r="I54" s="33">
        <f t="shared" si="1"/>
        <v>96371.6814159292</v>
      </c>
      <c r="J54" s="21" t="s">
        <v>58</v>
      </c>
      <c r="K54" s="34"/>
      <c r="L54" s="34"/>
      <c r="M54" s="32"/>
    </row>
    <row r="55" s="3" customFormat="1" ht="31" customHeight="1" spans="1:13">
      <c r="A55" s="21">
        <v>49</v>
      </c>
      <c r="B55" s="24" t="s">
        <v>99</v>
      </c>
      <c r="C55" s="24" t="s">
        <v>100</v>
      </c>
      <c r="D55" s="21" t="s">
        <v>97</v>
      </c>
      <c r="E55" s="24">
        <v>1</v>
      </c>
      <c r="F55" s="24">
        <v>450000</v>
      </c>
      <c r="G55" s="25">
        <f>344000/1.13</f>
        <v>304424.778761062</v>
      </c>
      <c r="H55" s="21">
        <f t="shared" si="0"/>
        <v>450000</v>
      </c>
      <c r="I55" s="33">
        <f t="shared" si="1"/>
        <v>304424.778761062</v>
      </c>
      <c r="J55" s="21" t="s">
        <v>58</v>
      </c>
      <c r="K55" s="34"/>
      <c r="L55" s="34"/>
      <c r="M55" s="32"/>
    </row>
    <row r="56" s="3" customFormat="1" ht="44" customHeight="1" spans="1:13">
      <c r="A56" s="21">
        <v>50</v>
      </c>
      <c r="B56" s="24" t="s">
        <v>101</v>
      </c>
      <c r="C56" s="24" t="s">
        <v>102</v>
      </c>
      <c r="D56" s="21" t="s">
        <v>97</v>
      </c>
      <c r="E56" s="24">
        <f>15+3+8</f>
        <v>26</v>
      </c>
      <c r="F56" s="24">
        <v>39000</v>
      </c>
      <c r="G56" s="25">
        <f>26500/1.13</f>
        <v>23451.3274336283</v>
      </c>
      <c r="H56" s="21">
        <f t="shared" si="0"/>
        <v>1014000</v>
      </c>
      <c r="I56" s="33">
        <f t="shared" si="1"/>
        <v>609734.513274336</v>
      </c>
      <c r="J56" s="21" t="s">
        <v>58</v>
      </c>
      <c r="K56" s="34"/>
      <c r="L56" s="34"/>
      <c r="M56" s="32"/>
    </row>
    <row r="57" s="3" customFormat="1" ht="28" customHeight="1" spans="1:13">
      <c r="A57" s="21">
        <v>51</v>
      </c>
      <c r="B57" s="24" t="s">
        <v>103</v>
      </c>
      <c r="C57" s="24" t="s">
        <v>104</v>
      </c>
      <c r="D57" s="21" t="s">
        <v>97</v>
      </c>
      <c r="E57" s="24">
        <f>38+34+18+24+27</f>
        <v>141</v>
      </c>
      <c r="F57" s="24">
        <v>620</v>
      </c>
      <c r="G57" s="25">
        <f>595/1.13</f>
        <v>526.548672566372</v>
      </c>
      <c r="H57" s="22">
        <f t="shared" si="0"/>
        <v>87420</v>
      </c>
      <c r="I57" s="23">
        <f t="shared" si="1"/>
        <v>74243.3628318584</v>
      </c>
      <c r="J57" s="21" t="s">
        <v>17</v>
      </c>
      <c r="K57" s="34"/>
      <c r="L57" s="34"/>
      <c r="M57" s="32"/>
    </row>
    <row r="58" s="3" customFormat="1" ht="28" customHeight="1" spans="1:13">
      <c r="A58" s="21">
        <v>52</v>
      </c>
      <c r="B58" s="24" t="s">
        <v>103</v>
      </c>
      <c r="C58" s="24" t="s">
        <v>105</v>
      </c>
      <c r="D58" s="21" t="s">
        <v>97</v>
      </c>
      <c r="E58" s="24">
        <f>32+59+19+26+28</f>
        <v>164</v>
      </c>
      <c r="F58" s="24">
        <v>360</v>
      </c>
      <c r="G58" s="25">
        <f>415/1.13*0+360</f>
        <v>360</v>
      </c>
      <c r="H58" s="22">
        <f t="shared" si="0"/>
        <v>59040</v>
      </c>
      <c r="I58" s="23">
        <f t="shared" si="1"/>
        <v>59040</v>
      </c>
      <c r="J58" s="21" t="s">
        <v>17</v>
      </c>
      <c r="K58" s="34"/>
      <c r="L58" s="34"/>
      <c r="M58" s="32"/>
    </row>
    <row r="59" s="3" customFormat="1" ht="28" customHeight="1" spans="1:13">
      <c r="A59" s="21">
        <v>53</v>
      </c>
      <c r="B59" s="24" t="s">
        <v>103</v>
      </c>
      <c r="C59" s="24" t="s">
        <v>106</v>
      </c>
      <c r="D59" s="21" t="s">
        <v>97</v>
      </c>
      <c r="E59" s="24">
        <f>18+66+30+18+13</f>
        <v>145</v>
      </c>
      <c r="F59" s="24">
        <v>620</v>
      </c>
      <c r="G59" s="25">
        <f>580/1.13</f>
        <v>513.274336283186</v>
      </c>
      <c r="H59" s="22">
        <f t="shared" si="0"/>
        <v>89900</v>
      </c>
      <c r="I59" s="23">
        <f t="shared" si="1"/>
        <v>74424.778761062</v>
      </c>
      <c r="J59" s="21" t="s">
        <v>17</v>
      </c>
      <c r="K59" s="34"/>
      <c r="L59" s="34"/>
      <c r="M59" s="32"/>
    </row>
    <row r="60" s="3" customFormat="1" ht="28" customHeight="1" spans="1:13">
      <c r="A60" s="21">
        <v>54</v>
      </c>
      <c r="B60" s="24" t="s">
        <v>103</v>
      </c>
      <c r="C60" s="24" t="s">
        <v>107</v>
      </c>
      <c r="D60" s="21" t="s">
        <v>97</v>
      </c>
      <c r="E60" s="24">
        <f>26+69+31+23+14</f>
        <v>163</v>
      </c>
      <c r="F60" s="24">
        <v>360</v>
      </c>
      <c r="G60" s="25">
        <f>402/1.13</f>
        <v>355.752212389381</v>
      </c>
      <c r="H60" s="22">
        <f t="shared" si="0"/>
        <v>58680</v>
      </c>
      <c r="I60" s="23">
        <f t="shared" si="1"/>
        <v>57987.610619469</v>
      </c>
      <c r="J60" s="21" t="s">
        <v>17</v>
      </c>
      <c r="K60" s="34"/>
      <c r="L60" s="34"/>
      <c r="M60" s="32"/>
    </row>
    <row r="61" s="3" customFormat="1" ht="28" customHeight="1" spans="1:13">
      <c r="A61" s="21">
        <v>55</v>
      </c>
      <c r="B61" s="24" t="s">
        <v>103</v>
      </c>
      <c r="C61" s="24" t="s">
        <v>108</v>
      </c>
      <c r="D61" s="21" t="s">
        <v>97</v>
      </c>
      <c r="E61" s="24">
        <v>3</v>
      </c>
      <c r="F61" s="24">
        <v>360</v>
      </c>
      <c r="G61" s="25">
        <f>186/1.13</f>
        <v>164.601769911504</v>
      </c>
      <c r="H61" s="22">
        <f t="shared" si="0"/>
        <v>1080</v>
      </c>
      <c r="I61" s="23">
        <f t="shared" si="1"/>
        <v>493.805309734513</v>
      </c>
      <c r="J61" s="21" t="s">
        <v>17</v>
      </c>
      <c r="K61" s="34"/>
      <c r="L61" s="34"/>
      <c r="M61" s="32"/>
    </row>
    <row r="62" s="3" customFormat="1" ht="28" customHeight="1" spans="1:13">
      <c r="A62" s="21">
        <v>56</v>
      </c>
      <c r="B62" s="24" t="s">
        <v>109</v>
      </c>
      <c r="C62" s="24" t="s">
        <v>110</v>
      </c>
      <c r="D62" s="21" t="s">
        <v>97</v>
      </c>
      <c r="E62" s="24">
        <v>16</v>
      </c>
      <c r="F62" s="24">
        <v>28500</v>
      </c>
      <c r="G62" s="25">
        <f>32800/1.13*0+28500</f>
        <v>28500</v>
      </c>
      <c r="H62" s="21">
        <f t="shared" si="0"/>
        <v>456000</v>
      </c>
      <c r="I62" s="33">
        <f t="shared" si="1"/>
        <v>456000</v>
      </c>
      <c r="J62" s="21" t="s">
        <v>17</v>
      </c>
      <c r="K62" s="34"/>
      <c r="L62" s="34"/>
      <c r="M62" s="32"/>
    </row>
    <row r="63" s="3" customFormat="1" ht="28" customHeight="1" spans="1:13">
      <c r="A63" s="21">
        <v>57</v>
      </c>
      <c r="B63" s="24" t="s">
        <v>111</v>
      </c>
      <c r="C63" s="24" t="s">
        <v>112</v>
      </c>
      <c r="D63" s="21" t="s">
        <v>13</v>
      </c>
      <c r="E63" s="24">
        <f>1+2</f>
        <v>3</v>
      </c>
      <c r="F63" s="24">
        <v>1070</v>
      </c>
      <c r="G63" s="25">
        <v>1070</v>
      </c>
      <c r="H63" s="21">
        <f t="shared" si="0"/>
        <v>3210</v>
      </c>
      <c r="I63" s="33">
        <f t="shared" si="1"/>
        <v>3210</v>
      </c>
      <c r="J63" s="21" t="s">
        <v>58</v>
      </c>
      <c r="K63" s="34"/>
      <c r="L63" s="34"/>
      <c r="M63" s="32"/>
    </row>
    <row r="64" s="3" customFormat="1" ht="28" customHeight="1" spans="1:13">
      <c r="A64" s="21">
        <v>58</v>
      </c>
      <c r="B64" s="24" t="s">
        <v>111</v>
      </c>
      <c r="C64" s="24" t="s">
        <v>113</v>
      </c>
      <c r="D64" s="21" t="s">
        <v>13</v>
      </c>
      <c r="E64" s="24">
        <f>2+4+1</f>
        <v>7</v>
      </c>
      <c r="F64" s="24">
        <v>1350</v>
      </c>
      <c r="G64" s="25">
        <v>1350</v>
      </c>
      <c r="H64" s="21">
        <f t="shared" si="0"/>
        <v>9450</v>
      </c>
      <c r="I64" s="33">
        <f t="shared" si="1"/>
        <v>9450</v>
      </c>
      <c r="J64" s="21" t="s">
        <v>58</v>
      </c>
      <c r="K64" s="34"/>
      <c r="L64" s="34"/>
      <c r="M64" s="32"/>
    </row>
    <row r="65" s="3" customFormat="1" ht="28" customHeight="1" spans="1:13">
      <c r="A65" s="21">
        <v>59</v>
      </c>
      <c r="B65" s="24" t="s">
        <v>114</v>
      </c>
      <c r="C65" s="24" t="s">
        <v>115</v>
      </c>
      <c r="D65" s="21" t="s">
        <v>13</v>
      </c>
      <c r="E65" s="24">
        <f>2+6+1+1+2</f>
        <v>12</v>
      </c>
      <c r="F65" s="24">
        <v>6750</v>
      </c>
      <c r="G65" s="25">
        <f>3150/1.13</f>
        <v>2787.61061946903</v>
      </c>
      <c r="H65" s="21">
        <f t="shared" si="0"/>
        <v>81000</v>
      </c>
      <c r="I65" s="33">
        <f t="shared" si="1"/>
        <v>33451.3274336283</v>
      </c>
      <c r="J65" s="21" t="s">
        <v>58</v>
      </c>
      <c r="K65" s="34"/>
      <c r="L65" s="34"/>
      <c r="M65" s="32"/>
    </row>
    <row r="66" s="3" customFormat="1" ht="28" customHeight="1" spans="1:13">
      <c r="A66" s="21">
        <v>60</v>
      </c>
      <c r="B66" s="24" t="s">
        <v>116</v>
      </c>
      <c r="C66" s="24"/>
      <c r="D66" s="21" t="s">
        <v>13</v>
      </c>
      <c r="E66" s="24">
        <v>21</v>
      </c>
      <c r="F66" s="24">
        <v>0</v>
      </c>
      <c r="G66" s="25">
        <f>1250/1.13</f>
        <v>1106.19469026549</v>
      </c>
      <c r="H66" s="21">
        <f t="shared" si="0"/>
        <v>0</v>
      </c>
      <c r="I66" s="33">
        <f t="shared" si="1"/>
        <v>23230.0884955752</v>
      </c>
      <c r="J66" s="21" t="s">
        <v>58</v>
      </c>
      <c r="K66" s="34"/>
      <c r="L66" s="34"/>
      <c r="M66" s="32"/>
    </row>
    <row r="67" s="3" customFormat="1" ht="28" customHeight="1" spans="1:13">
      <c r="A67" s="21">
        <v>61</v>
      </c>
      <c r="B67" s="24" t="s">
        <v>117</v>
      </c>
      <c r="C67" s="24"/>
      <c r="D67" s="21" t="s">
        <v>13</v>
      </c>
      <c r="E67" s="24">
        <v>21</v>
      </c>
      <c r="F67" s="24">
        <v>0</v>
      </c>
      <c r="G67" s="25">
        <f>580/1.13</f>
        <v>513.274336283186</v>
      </c>
      <c r="H67" s="21">
        <f t="shared" si="0"/>
        <v>0</v>
      </c>
      <c r="I67" s="33">
        <f t="shared" si="1"/>
        <v>10778.7610619469</v>
      </c>
      <c r="J67" s="21" t="s">
        <v>58</v>
      </c>
      <c r="K67" s="34"/>
      <c r="L67" s="34"/>
      <c r="M67" s="32"/>
    </row>
    <row r="68" s="3" customFormat="1" ht="28" customHeight="1" spans="1:13">
      <c r="A68" s="21">
        <v>62</v>
      </c>
      <c r="B68" s="24" t="s">
        <v>118</v>
      </c>
      <c r="C68" s="24"/>
      <c r="D68" s="21" t="s">
        <v>73</v>
      </c>
      <c r="E68" s="24">
        <v>21</v>
      </c>
      <c r="F68" s="24">
        <v>0</v>
      </c>
      <c r="G68" s="25">
        <f>18/1.13</f>
        <v>15.929203539823</v>
      </c>
      <c r="H68" s="21">
        <f t="shared" si="0"/>
        <v>0</v>
      </c>
      <c r="I68" s="33">
        <f t="shared" si="1"/>
        <v>334.513274336283</v>
      </c>
      <c r="J68" s="21" t="s">
        <v>58</v>
      </c>
      <c r="K68" s="34"/>
      <c r="L68" s="34"/>
      <c r="M68" s="32"/>
    </row>
    <row r="69" s="3" customFormat="1" ht="28" customHeight="1" spans="1:13">
      <c r="A69" s="21">
        <v>63</v>
      </c>
      <c r="B69" s="24" t="s">
        <v>119</v>
      </c>
      <c r="C69" s="24"/>
      <c r="D69" s="21" t="s">
        <v>73</v>
      </c>
      <c r="E69" s="24">
        <v>21</v>
      </c>
      <c r="F69" s="24">
        <v>0</v>
      </c>
      <c r="G69" s="25">
        <f>360/1.13</f>
        <v>318.58407079646</v>
      </c>
      <c r="H69" s="21">
        <f t="shared" si="0"/>
        <v>0</v>
      </c>
      <c r="I69" s="33">
        <f t="shared" si="1"/>
        <v>6690.26548672566</v>
      </c>
      <c r="J69" s="21" t="s">
        <v>58</v>
      </c>
      <c r="K69" s="34"/>
      <c r="L69" s="34"/>
      <c r="M69" s="32"/>
    </row>
    <row r="70" s="3" customFormat="1" ht="28" customHeight="1" spans="1:13">
      <c r="A70" s="21">
        <v>64</v>
      </c>
      <c r="B70" s="24" t="s">
        <v>120</v>
      </c>
      <c r="C70" s="24"/>
      <c r="D70" s="21" t="s">
        <v>73</v>
      </c>
      <c r="E70" s="24">
        <v>21</v>
      </c>
      <c r="F70" s="24">
        <v>0</v>
      </c>
      <c r="G70" s="25">
        <f>135/1.13</f>
        <v>119.469026548673</v>
      </c>
      <c r="H70" s="21">
        <f t="shared" si="0"/>
        <v>0</v>
      </c>
      <c r="I70" s="33">
        <f t="shared" si="1"/>
        <v>2508.84955752212</v>
      </c>
      <c r="J70" s="21" t="s">
        <v>58</v>
      </c>
      <c r="K70" s="34"/>
      <c r="L70" s="34"/>
      <c r="M70" s="32"/>
    </row>
    <row r="71" s="3" customFormat="1" ht="30" customHeight="1" spans="1:13">
      <c r="A71" s="21">
        <v>65</v>
      </c>
      <c r="B71" s="24" t="s">
        <v>121</v>
      </c>
      <c r="C71" s="24" t="s">
        <v>122</v>
      </c>
      <c r="D71" s="21" t="s">
        <v>13</v>
      </c>
      <c r="E71" s="24">
        <f>29+68+19+18+13</f>
        <v>147</v>
      </c>
      <c r="F71" s="24">
        <v>867</v>
      </c>
      <c r="G71" s="25">
        <v>514</v>
      </c>
      <c r="H71" s="21">
        <f t="shared" ref="H71:H123" si="2">F71*E71</f>
        <v>127449</v>
      </c>
      <c r="I71" s="33">
        <f t="shared" ref="I71:I123" si="3">G71*E71</f>
        <v>75558</v>
      </c>
      <c r="J71" s="21" t="s">
        <v>58</v>
      </c>
      <c r="K71" s="34"/>
      <c r="L71" s="34"/>
      <c r="M71" s="32"/>
    </row>
    <row r="72" s="3" customFormat="1" ht="28" customHeight="1" spans="1:13">
      <c r="A72" s="21">
        <v>66</v>
      </c>
      <c r="B72" s="24" t="s">
        <v>123</v>
      </c>
      <c r="C72" s="24" t="s">
        <v>124</v>
      </c>
      <c r="D72" s="21" t="s">
        <v>13</v>
      </c>
      <c r="E72" s="24">
        <v>6</v>
      </c>
      <c r="F72" s="24">
        <v>867</v>
      </c>
      <c r="G72" s="25">
        <f>600/1.13</f>
        <v>530.973451327434</v>
      </c>
      <c r="H72" s="21">
        <f t="shared" si="2"/>
        <v>5202</v>
      </c>
      <c r="I72" s="33">
        <f t="shared" si="3"/>
        <v>3185.8407079646</v>
      </c>
      <c r="J72" s="21" t="s">
        <v>58</v>
      </c>
      <c r="K72" s="34"/>
      <c r="L72" s="34"/>
      <c r="M72" s="32"/>
    </row>
    <row r="73" s="3" customFormat="1" ht="28" customHeight="1" spans="1:13">
      <c r="A73" s="21">
        <v>67</v>
      </c>
      <c r="B73" s="24" t="s">
        <v>125</v>
      </c>
      <c r="C73" s="24" t="s">
        <v>126</v>
      </c>
      <c r="D73" s="21" t="s">
        <v>13</v>
      </c>
      <c r="E73" s="24">
        <v>1</v>
      </c>
      <c r="F73" s="24">
        <v>2500</v>
      </c>
      <c r="G73" s="25">
        <f>2082*1.05</f>
        <v>2186.1</v>
      </c>
      <c r="H73" s="22">
        <f t="shared" si="2"/>
        <v>2500</v>
      </c>
      <c r="I73" s="23">
        <f t="shared" si="3"/>
        <v>2186.1</v>
      </c>
      <c r="J73" s="21" t="s">
        <v>58</v>
      </c>
      <c r="K73" s="34"/>
      <c r="L73" s="34"/>
      <c r="M73" s="32"/>
    </row>
    <row r="74" s="3" customFormat="1" ht="28" customHeight="1" spans="1:13">
      <c r="A74" s="21">
        <v>68</v>
      </c>
      <c r="B74" s="24" t="s">
        <v>125</v>
      </c>
      <c r="C74" s="24" t="s">
        <v>127</v>
      </c>
      <c r="D74" s="21" t="s">
        <v>13</v>
      </c>
      <c r="E74" s="24">
        <f>1+1+1+1</f>
        <v>4</v>
      </c>
      <c r="F74" s="24">
        <v>3300</v>
      </c>
      <c r="G74" s="25">
        <f>2560*1.05</f>
        <v>2688</v>
      </c>
      <c r="H74" s="22">
        <f t="shared" si="2"/>
        <v>13200</v>
      </c>
      <c r="I74" s="23">
        <f t="shared" si="3"/>
        <v>10752</v>
      </c>
      <c r="J74" s="21" t="s">
        <v>58</v>
      </c>
      <c r="K74" s="34"/>
      <c r="L74" s="34"/>
      <c r="M74" s="32"/>
    </row>
    <row r="75" s="3" customFormat="1" ht="28" customHeight="1" spans="1:13">
      <c r="A75" s="21">
        <v>69</v>
      </c>
      <c r="B75" s="24" t="s">
        <v>128</v>
      </c>
      <c r="C75" s="24" t="s">
        <v>129</v>
      </c>
      <c r="D75" s="21" t="s">
        <v>13</v>
      </c>
      <c r="E75" s="24">
        <f>1+1+1+1</f>
        <v>4</v>
      </c>
      <c r="F75" s="24">
        <v>8560</v>
      </c>
      <c r="G75" s="25">
        <f>4500/1.13</f>
        <v>3982.30088495575</v>
      </c>
      <c r="H75" s="21">
        <f t="shared" si="2"/>
        <v>34240</v>
      </c>
      <c r="I75" s="33">
        <f t="shared" si="3"/>
        <v>15929.203539823</v>
      </c>
      <c r="J75" s="21" t="s">
        <v>58</v>
      </c>
      <c r="K75" s="34"/>
      <c r="L75" s="34"/>
      <c r="M75" s="32"/>
    </row>
    <row r="76" s="3" customFormat="1" ht="28" customHeight="1" spans="1:13">
      <c r="A76" s="21">
        <v>70</v>
      </c>
      <c r="B76" s="24" t="s">
        <v>128</v>
      </c>
      <c r="C76" s="24" t="s">
        <v>130</v>
      </c>
      <c r="D76" s="21" t="s">
        <v>13</v>
      </c>
      <c r="E76" s="24">
        <v>1</v>
      </c>
      <c r="F76" s="24">
        <v>14340</v>
      </c>
      <c r="G76" s="25">
        <f>6300/1.13</f>
        <v>5575.22123893805</v>
      </c>
      <c r="H76" s="21">
        <f t="shared" si="2"/>
        <v>14340</v>
      </c>
      <c r="I76" s="33">
        <f t="shared" si="3"/>
        <v>5575.22123893805</v>
      </c>
      <c r="J76" s="21" t="s">
        <v>58</v>
      </c>
      <c r="K76" s="34"/>
      <c r="L76" s="34"/>
      <c r="M76" s="32"/>
    </row>
    <row r="77" s="3" customFormat="1" ht="28" customHeight="1" spans="1:13">
      <c r="A77" s="21">
        <v>71</v>
      </c>
      <c r="B77" s="24" t="s">
        <v>131</v>
      </c>
      <c r="C77" s="24" t="s">
        <v>132</v>
      </c>
      <c r="D77" s="21" t="s">
        <v>73</v>
      </c>
      <c r="E77" s="24">
        <f>2+11+1+1+3</f>
        <v>18</v>
      </c>
      <c r="F77" s="24">
        <v>1185</v>
      </c>
      <c r="G77" s="25">
        <f>900/1.13</f>
        <v>796.460176991151</v>
      </c>
      <c r="H77" s="21">
        <f t="shared" si="2"/>
        <v>21330</v>
      </c>
      <c r="I77" s="33">
        <f t="shared" si="3"/>
        <v>14336.2831858407</v>
      </c>
      <c r="J77" s="21" t="s">
        <v>58</v>
      </c>
      <c r="K77" s="34"/>
      <c r="L77" s="34"/>
      <c r="M77" s="32"/>
    </row>
    <row r="78" s="3" customFormat="1" ht="28" customHeight="1" spans="1:13">
      <c r="A78" s="21">
        <v>72</v>
      </c>
      <c r="B78" s="24" t="s">
        <v>133</v>
      </c>
      <c r="C78" s="24" t="s">
        <v>134</v>
      </c>
      <c r="D78" s="21" t="s">
        <v>13</v>
      </c>
      <c r="E78" s="24">
        <v>1</v>
      </c>
      <c r="F78" s="24">
        <v>1850</v>
      </c>
      <c r="G78" s="25">
        <f>950/1.13</f>
        <v>840.70796460177</v>
      </c>
      <c r="H78" s="21">
        <f t="shared" si="2"/>
        <v>1850</v>
      </c>
      <c r="I78" s="33">
        <f t="shared" si="3"/>
        <v>840.70796460177</v>
      </c>
      <c r="J78" s="21" t="s">
        <v>58</v>
      </c>
      <c r="K78" s="34"/>
      <c r="L78" s="34"/>
      <c r="M78" s="32"/>
    </row>
    <row r="79" s="3" customFormat="1" ht="45" customHeight="1" spans="1:13">
      <c r="A79" s="21">
        <v>73</v>
      </c>
      <c r="B79" s="24" t="s">
        <v>135</v>
      </c>
      <c r="C79" s="24" t="s">
        <v>136</v>
      </c>
      <c r="D79" s="21" t="s">
        <v>13</v>
      </c>
      <c r="E79" s="24">
        <f t="shared" ref="E79:E81" si="4">1+1+1+1+1</f>
        <v>5</v>
      </c>
      <c r="F79" s="24">
        <v>2850</v>
      </c>
      <c r="G79" s="25">
        <f>1600/1.13</f>
        <v>1415.92920353982</v>
      </c>
      <c r="H79" s="21">
        <f t="shared" si="2"/>
        <v>14250</v>
      </c>
      <c r="I79" s="33">
        <f t="shared" si="3"/>
        <v>7079.64601769912</v>
      </c>
      <c r="J79" s="21" t="s">
        <v>58</v>
      </c>
      <c r="K79" s="34"/>
      <c r="L79" s="34"/>
      <c r="M79" s="32"/>
    </row>
    <row r="80" s="3" customFormat="1" ht="28" customHeight="1" spans="1:13">
      <c r="A80" s="21">
        <v>74</v>
      </c>
      <c r="B80" s="24" t="s">
        <v>137</v>
      </c>
      <c r="C80" s="24"/>
      <c r="D80" s="21" t="s">
        <v>13</v>
      </c>
      <c r="E80" s="24">
        <f t="shared" si="4"/>
        <v>5</v>
      </c>
      <c r="F80" s="24">
        <v>1500</v>
      </c>
      <c r="G80" s="25">
        <f>1080/1.13</f>
        <v>955.752212389381</v>
      </c>
      <c r="H80" s="21">
        <f t="shared" si="2"/>
        <v>7500</v>
      </c>
      <c r="I80" s="33">
        <f t="shared" si="3"/>
        <v>4778.7610619469</v>
      </c>
      <c r="J80" s="21" t="s">
        <v>62</v>
      </c>
      <c r="K80" s="34"/>
      <c r="L80" s="34"/>
      <c r="M80" s="32"/>
    </row>
    <row r="81" s="3" customFormat="1" ht="28" customHeight="1" spans="1:13">
      <c r="A81" s="21">
        <v>75</v>
      </c>
      <c r="B81" s="24" t="s">
        <v>138</v>
      </c>
      <c r="C81" s="24"/>
      <c r="D81" s="21" t="s">
        <v>13</v>
      </c>
      <c r="E81" s="24">
        <f t="shared" si="4"/>
        <v>5</v>
      </c>
      <c r="F81" s="24">
        <v>3500</v>
      </c>
      <c r="G81" s="25">
        <f>1944/1.13</f>
        <v>1720.35398230089</v>
      </c>
      <c r="H81" s="21">
        <f t="shared" si="2"/>
        <v>17500</v>
      </c>
      <c r="I81" s="33">
        <f t="shared" si="3"/>
        <v>8601.76991150443</v>
      </c>
      <c r="J81" s="21" t="s">
        <v>139</v>
      </c>
      <c r="K81" s="34"/>
      <c r="L81" s="34"/>
      <c r="M81" s="32"/>
    </row>
    <row r="82" s="3" customFormat="1" ht="28" customHeight="1" spans="1:13">
      <c r="A82" s="21">
        <v>76</v>
      </c>
      <c r="B82" s="24" t="s">
        <v>140</v>
      </c>
      <c r="C82" s="24" t="s">
        <v>141</v>
      </c>
      <c r="D82" s="21" t="s">
        <v>13</v>
      </c>
      <c r="E82" s="24">
        <f>1+1+1+8+1</f>
        <v>12</v>
      </c>
      <c r="F82" s="24">
        <v>1800</v>
      </c>
      <c r="G82" s="25">
        <f>980/1.13</f>
        <v>867.256637168142</v>
      </c>
      <c r="H82" s="21">
        <f t="shared" si="2"/>
        <v>21600</v>
      </c>
      <c r="I82" s="33">
        <f t="shared" si="3"/>
        <v>10407.0796460177</v>
      </c>
      <c r="J82" s="21" t="s">
        <v>58</v>
      </c>
      <c r="K82" s="34"/>
      <c r="L82" s="34"/>
      <c r="M82" s="32"/>
    </row>
    <row r="83" s="3" customFormat="1" ht="28" customHeight="1" spans="1:13">
      <c r="A83" s="21">
        <v>77</v>
      </c>
      <c r="B83" s="24" t="s">
        <v>142</v>
      </c>
      <c r="C83" s="24" t="s">
        <v>143</v>
      </c>
      <c r="D83" s="21" t="s">
        <v>13</v>
      </c>
      <c r="E83" s="24">
        <f t="shared" ref="E83:E86" si="5">1+1+1+1+1</f>
        <v>5</v>
      </c>
      <c r="F83" s="24">
        <v>2100</v>
      </c>
      <c r="G83" s="25">
        <f>2927/1.13*0+2100</f>
        <v>2100</v>
      </c>
      <c r="H83" s="21">
        <f t="shared" si="2"/>
        <v>10500</v>
      </c>
      <c r="I83" s="33">
        <f t="shared" si="3"/>
        <v>10500</v>
      </c>
      <c r="J83" s="21" t="s">
        <v>58</v>
      </c>
      <c r="K83" s="34"/>
      <c r="L83" s="34"/>
      <c r="M83" s="32"/>
    </row>
    <row r="84" s="3" customFormat="1" ht="28" customHeight="1" spans="1:13">
      <c r="A84" s="21">
        <v>78</v>
      </c>
      <c r="B84" s="24" t="s">
        <v>144</v>
      </c>
      <c r="C84" s="24" t="s">
        <v>145</v>
      </c>
      <c r="D84" s="21" t="s">
        <v>13</v>
      </c>
      <c r="E84" s="24">
        <f>24+49+20+27+17</f>
        <v>137</v>
      </c>
      <c r="F84" s="24">
        <v>165</v>
      </c>
      <c r="G84" s="25">
        <f>156/1.13</f>
        <v>138.053097345133</v>
      </c>
      <c r="H84" s="21">
        <f t="shared" si="2"/>
        <v>22605</v>
      </c>
      <c r="I84" s="33">
        <f t="shared" si="3"/>
        <v>18913.2743362832</v>
      </c>
      <c r="J84" s="21" t="s">
        <v>58</v>
      </c>
      <c r="K84" s="34"/>
      <c r="L84" s="34"/>
      <c r="M84" s="32"/>
    </row>
    <row r="85" s="3" customFormat="1" ht="28" customHeight="1" spans="1:13">
      <c r="A85" s="21">
        <v>79</v>
      </c>
      <c r="B85" s="24" t="s">
        <v>146</v>
      </c>
      <c r="C85" s="24" t="s">
        <v>147</v>
      </c>
      <c r="D85" s="21" t="s">
        <v>13</v>
      </c>
      <c r="E85" s="24">
        <f t="shared" si="5"/>
        <v>5</v>
      </c>
      <c r="F85" s="24">
        <v>3600</v>
      </c>
      <c r="G85" s="25">
        <f>2757/1.13</f>
        <v>2439.82300884956</v>
      </c>
      <c r="H85" s="21">
        <f t="shared" si="2"/>
        <v>18000</v>
      </c>
      <c r="I85" s="33">
        <f t="shared" si="3"/>
        <v>12199.1150442478</v>
      </c>
      <c r="J85" s="21" t="s">
        <v>58</v>
      </c>
      <c r="K85" s="34"/>
      <c r="L85" s="34"/>
      <c r="M85" s="32"/>
    </row>
    <row r="86" s="3" customFormat="1" ht="28" customHeight="1" spans="1:13">
      <c r="A86" s="21">
        <v>80</v>
      </c>
      <c r="B86" s="24" t="s">
        <v>148</v>
      </c>
      <c r="C86" s="24"/>
      <c r="D86" s="21" t="s">
        <v>13</v>
      </c>
      <c r="E86" s="24">
        <f t="shared" si="5"/>
        <v>5</v>
      </c>
      <c r="F86" s="24">
        <v>15000</v>
      </c>
      <c r="G86" s="25">
        <f>3060/1.13</f>
        <v>2707.96460176991</v>
      </c>
      <c r="H86" s="21">
        <f t="shared" si="2"/>
        <v>75000</v>
      </c>
      <c r="I86" s="33">
        <f t="shared" si="3"/>
        <v>13539.8230088496</v>
      </c>
      <c r="J86" s="21" t="s">
        <v>139</v>
      </c>
      <c r="K86" s="34"/>
      <c r="L86" s="34"/>
      <c r="M86" s="32"/>
    </row>
    <row r="87" s="3" customFormat="1" ht="28" customHeight="1" spans="1:13">
      <c r="A87" s="21">
        <v>81</v>
      </c>
      <c r="B87" s="24" t="s">
        <v>149</v>
      </c>
      <c r="C87" s="24"/>
      <c r="D87" s="21" t="s">
        <v>73</v>
      </c>
      <c r="E87" s="24">
        <f>24+49+20+27+17</f>
        <v>137</v>
      </c>
      <c r="F87" s="24">
        <v>100</v>
      </c>
      <c r="G87" s="25">
        <f>83/1.13</f>
        <v>73.4513274336283</v>
      </c>
      <c r="H87" s="21">
        <f t="shared" si="2"/>
        <v>13700</v>
      </c>
      <c r="I87" s="33">
        <f t="shared" si="3"/>
        <v>10062.8318584071</v>
      </c>
      <c r="J87" s="21" t="s">
        <v>139</v>
      </c>
      <c r="K87" s="34"/>
      <c r="L87" s="34"/>
      <c r="M87" s="32"/>
    </row>
    <row r="88" s="3" customFormat="1" ht="28" customHeight="1" spans="1:13">
      <c r="A88" s="21">
        <v>82</v>
      </c>
      <c r="B88" s="24" t="s">
        <v>150</v>
      </c>
      <c r="C88" s="24"/>
      <c r="D88" s="21" t="s">
        <v>97</v>
      </c>
      <c r="E88" s="24">
        <v>2</v>
      </c>
      <c r="F88" s="24">
        <v>18750</v>
      </c>
      <c r="G88" s="25">
        <f>4852/1.13</f>
        <v>4293.80530973451</v>
      </c>
      <c r="H88" s="21">
        <f t="shared" si="2"/>
        <v>37500</v>
      </c>
      <c r="I88" s="33">
        <f t="shared" si="3"/>
        <v>8587.61061946903</v>
      </c>
      <c r="J88" s="21" t="s">
        <v>58</v>
      </c>
      <c r="K88" s="34"/>
      <c r="L88" s="34"/>
      <c r="M88" s="32"/>
    </row>
    <row r="89" s="3" customFormat="1" ht="28" customHeight="1" spans="1:13">
      <c r="A89" s="21">
        <v>83</v>
      </c>
      <c r="B89" s="24" t="s">
        <v>151</v>
      </c>
      <c r="C89" s="24"/>
      <c r="D89" s="21" t="s">
        <v>97</v>
      </c>
      <c r="E89" s="24">
        <v>23</v>
      </c>
      <c r="F89" s="24">
        <v>500</v>
      </c>
      <c r="G89" s="25">
        <f>286/1.13</f>
        <v>253.097345132743</v>
      </c>
      <c r="H89" s="21">
        <f t="shared" si="2"/>
        <v>11500</v>
      </c>
      <c r="I89" s="33">
        <f t="shared" si="3"/>
        <v>5821.2389380531</v>
      </c>
      <c r="J89" s="21" t="s">
        <v>58</v>
      </c>
      <c r="K89" s="34"/>
      <c r="L89" s="34"/>
      <c r="M89" s="32"/>
    </row>
    <row r="90" s="3" customFormat="1" ht="55" customHeight="1" spans="1:13">
      <c r="A90" s="21">
        <v>84</v>
      </c>
      <c r="B90" s="24" t="s">
        <v>152</v>
      </c>
      <c r="C90" s="24" t="s">
        <v>153</v>
      </c>
      <c r="D90" s="21" t="s">
        <v>154</v>
      </c>
      <c r="E90" s="24">
        <f>1+4+3</f>
        <v>8</v>
      </c>
      <c r="F90" s="24">
        <v>12150</v>
      </c>
      <c r="G90" s="25">
        <f>13650/1.13*0.7</f>
        <v>8455.75221238938</v>
      </c>
      <c r="H90" s="21">
        <f t="shared" si="2"/>
        <v>97200</v>
      </c>
      <c r="I90" s="33">
        <f t="shared" si="3"/>
        <v>67646.0176991151</v>
      </c>
      <c r="J90" s="21" t="s">
        <v>17</v>
      </c>
      <c r="K90" s="34"/>
      <c r="L90" s="34"/>
      <c r="M90" s="32"/>
    </row>
    <row r="91" s="3" customFormat="1" ht="55" customHeight="1" spans="1:13">
      <c r="A91" s="21">
        <v>85</v>
      </c>
      <c r="B91" s="24" t="s">
        <v>155</v>
      </c>
      <c r="C91" s="24" t="s">
        <v>156</v>
      </c>
      <c r="D91" s="21" t="s">
        <v>154</v>
      </c>
      <c r="E91" s="24">
        <f>1+2</f>
        <v>3</v>
      </c>
      <c r="F91" s="24">
        <v>15750</v>
      </c>
      <c r="G91" s="25">
        <f>16560/1.13*0.7</f>
        <v>10258.407079646</v>
      </c>
      <c r="H91" s="21">
        <f t="shared" si="2"/>
        <v>47250</v>
      </c>
      <c r="I91" s="33">
        <f t="shared" si="3"/>
        <v>30775.2212389381</v>
      </c>
      <c r="J91" s="21" t="s">
        <v>17</v>
      </c>
      <c r="K91" s="34"/>
      <c r="L91" s="34"/>
      <c r="M91" s="32"/>
    </row>
    <row r="92" s="3" customFormat="1" ht="55" customHeight="1" spans="1:13">
      <c r="A92" s="21">
        <v>86</v>
      </c>
      <c r="B92" s="24" t="s">
        <v>157</v>
      </c>
      <c r="C92" s="24" t="s">
        <v>158</v>
      </c>
      <c r="D92" s="21" t="s">
        <v>154</v>
      </c>
      <c r="E92" s="24">
        <v>1</v>
      </c>
      <c r="F92" s="24">
        <v>10500</v>
      </c>
      <c r="G92" s="25">
        <f>11250/1.13*0.7</f>
        <v>6969.02654867257</v>
      </c>
      <c r="H92" s="21">
        <f t="shared" si="2"/>
        <v>10500</v>
      </c>
      <c r="I92" s="33">
        <f t="shared" si="3"/>
        <v>6969.02654867257</v>
      </c>
      <c r="J92" s="21" t="s">
        <v>17</v>
      </c>
      <c r="K92" s="34"/>
      <c r="L92" s="34"/>
      <c r="M92" s="32"/>
    </row>
    <row r="93" s="3" customFormat="1" ht="55" customHeight="1" spans="1:13">
      <c r="A93" s="21">
        <v>87</v>
      </c>
      <c r="B93" s="24" t="s">
        <v>159</v>
      </c>
      <c r="C93" s="24" t="s">
        <v>160</v>
      </c>
      <c r="D93" s="21" t="s">
        <v>154</v>
      </c>
      <c r="E93" s="24">
        <f>3+13+3</f>
        <v>19</v>
      </c>
      <c r="F93" s="24">
        <v>18200</v>
      </c>
      <c r="G93" s="25">
        <f>22360/1.13*0.7</f>
        <v>13851.3274336283</v>
      </c>
      <c r="H93" s="21">
        <f t="shared" si="2"/>
        <v>345800</v>
      </c>
      <c r="I93" s="33">
        <f t="shared" si="3"/>
        <v>263175.221238938</v>
      </c>
      <c r="J93" s="21" t="s">
        <v>17</v>
      </c>
      <c r="K93" s="34"/>
      <c r="L93" s="34"/>
      <c r="M93" s="32"/>
    </row>
    <row r="94" s="3" customFormat="1" ht="55" customHeight="1" spans="1:13">
      <c r="A94" s="21">
        <v>88</v>
      </c>
      <c r="B94" s="24" t="s">
        <v>161</v>
      </c>
      <c r="C94" s="24" t="s">
        <v>162</v>
      </c>
      <c r="D94" s="21" t="s">
        <v>154</v>
      </c>
      <c r="E94" s="24">
        <v>1</v>
      </c>
      <c r="F94" s="24">
        <v>32500</v>
      </c>
      <c r="G94" s="25">
        <f>29720/1.13*0.7</f>
        <v>18410.6194690266</v>
      </c>
      <c r="H94" s="21">
        <f t="shared" si="2"/>
        <v>32500</v>
      </c>
      <c r="I94" s="33">
        <f t="shared" si="3"/>
        <v>18410.6194690266</v>
      </c>
      <c r="J94" s="21" t="s">
        <v>17</v>
      </c>
      <c r="K94" s="34"/>
      <c r="L94" s="34"/>
      <c r="M94" s="32"/>
    </row>
    <row r="95" s="3" customFormat="1" ht="24" customHeight="1" spans="1:13">
      <c r="A95" s="21">
        <v>89</v>
      </c>
      <c r="B95" s="24" t="s">
        <v>163</v>
      </c>
      <c r="C95" s="24" t="s">
        <v>164</v>
      </c>
      <c r="D95" s="21" t="s">
        <v>13</v>
      </c>
      <c r="E95" s="24">
        <f>3+19+6+4</f>
        <v>32</v>
      </c>
      <c r="F95" s="24">
        <v>2100</v>
      </c>
      <c r="G95" s="25">
        <f>1988/1.13</f>
        <v>1759.29203539823</v>
      </c>
      <c r="H95" s="22">
        <f t="shared" si="2"/>
        <v>67200</v>
      </c>
      <c r="I95" s="23">
        <f t="shared" si="3"/>
        <v>56297.3451327434</v>
      </c>
      <c r="J95" s="21" t="s">
        <v>58</v>
      </c>
      <c r="K95" s="34"/>
      <c r="L95" s="34"/>
      <c r="M95" s="32"/>
    </row>
    <row r="96" s="3" customFormat="1" ht="58" customHeight="1" spans="1:13">
      <c r="A96" s="21">
        <v>90</v>
      </c>
      <c r="B96" s="24" t="s">
        <v>165</v>
      </c>
      <c r="C96" s="24" t="s">
        <v>166</v>
      </c>
      <c r="D96" s="21" t="s">
        <v>73</v>
      </c>
      <c r="E96" s="24">
        <f>18+14+6</f>
        <v>38</v>
      </c>
      <c r="F96" s="24">
        <v>500</v>
      </c>
      <c r="G96" s="25">
        <f>550/1.13</f>
        <v>486.725663716814</v>
      </c>
      <c r="H96" s="21">
        <f t="shared" si="2"/>
        <v>19000</v>
      </c>
      <c r="I96" s="33">
        <f t="shared" si="3"/>
        <v>18495.5752212389</v>
      </c>
      <c r="J96" s="21" t="s">
        <v>17</v>
      </c>
      <c r="K96" s="34"/>
      <c r="L96" s="34"/>
      <c r="M96" s="32"/>
    </row>
    <row r="97" s="3" customFormat="1" ht="125" customHeight="1" spans="1:13">
      <c r="A97" s="21">
        <v>91</v>
      </c>
      <c r="B97" s="24" t="s">
        <v>167</v>
      </c>
      <c r="C97" s="24" t="s">
        <v>168</v>
      </c>
      <c r="D97" s="21" t="s">
        <v>169</v>
      </c>
      <c r="E97" s="24">
        <f>25+21.5+14</f>
        <v>60.5</v>
      </c>
      <c r="F97" s="24">
        <v>680</v>
      </c>
      <c r="G97" s="25">
        <f>735/1.13</f>
        <v>650.442477876106</v>
      </c>
      <c r="H97" s="21">
        <f t="shared" si="2"/>
        <v>41140</v>
      </c>
      <c r="I97" s="33">
        <f t="shared" si="3"/>
        <v>39351.7699115044</v>
      </c>
      <c r="J97" s="21" t="s">
        <v>17</v>
      </c>
      <c r="K97" s="34"/>
      <c r="L97" s="34"/>
      <c r="M97" s="32"/>
    </row>
    <row r="98" s="3" customFormat="1" ht="27" customHeight="1" spans="1:13">
      <c r="A98" s="21">
        <v>92</v>
      </c>
      <c r="B98" s="24" t="s">
        <v>170</v>
      </c>
      <c r="C98" s="24" t="s">
        <v>171</v>
      </c>
      <c r="D98" s="21" t="s">
        <v>13</v>
      </c>
      <c r="E98" s="24">
        <f>1+1+1+1</f>
        <v>4</v>
      </c>
      <c r="F98" s="24">
        <v>2500</v>
      </c>
      <c r="G98" s="25">
        <f>3650/1.13*0+2500</f>
        <v>2500</v>
      </c>
      <c r="H98" s="21">
        <f t="shared" si="2"/>
        <v>10000</v>
      </c>
      <c r="I98" s="33">
        <f t="shared" si="3"/>
        <v>10000</v>
      </c>
      <c r="J98" s="21" t="s">
        <v>17</v>
      </c>
      <c r="K98" s="34"/>
      <c r="L98" s="34"/>
      <c r="M98" s="32"/>
    </row>
    <row r="99" s="3" customFormat="1" ht="27" customHeight="1" spans="1:13">
      <c r="A99" s="21">
        <v>93</v>
      </c>
      <c r="B99" s="24" t="s">
        <v>172</v>
      </c>
      <c r="C99" s="24" t="s">
        <v>173</v>
      </c>
      <c r="D99" s="21" t="s">
        <v>13</v>
      </c>
      <c r="E99" s="24">
        <f>2+1+1</f>
        <v>4</v>
      </c>
      <c r="F99" s="24">
        <v>4000</v>
      </c>
      <c r="G99" s="25">
        <f>3920/1.13</f>
        <v>3469.02654867257</v>
      </c>
      <c r="H99" s="21">
        <f t="shared" si="2"/>
        <v>16000</v>
      </c>
      <c r="I99" s="33">
        <f t="shared" si="3"/>
        <v>13876.1061946903</v>
      </c>
      <c r="J99" s="21" t="s">
        <v>17</v>
      </c>
      <c r="K99" s="34"/>
      <c r="L99" s="34"/>
      <c r="M99" s="32"/>
    </row>
    <row r="100" s="3" customFormat="1" ht="27" customHeight="1" spans="1:13">
      <c r="A100" s="21">
        <v>94</v>
      </c>
      <c r="B100" s="24" t="s">
        <v>174</v>
      </c>
      <c r="C100" s="24" t="s">
        <v>175</v>
      </c>
      <c r="D100" s="21" t="s">
        <v>13</v>
      </c>
      <c r="E100" s="24">
        <v>1</v>
      </c>
      <c r="F100" s="24">
        <v>2800</v>
      </c>
      <c r="G100" s="25">
        <f>5260/1.13</f>
        <v>4654.86725663717</v>
      </c>
      <c r="H100" s="21">
        <f t="shared" si="2"/>
        <v>2800</v>
      </c>
      <c r="I100" s="33">
        <f t="shared" si="3"/>
        <v>4654.86725663717</v>
      </c>
      <c r="J100" s="21" t="s">
        <v>17</v>
      </c>
      <c r="K100" s="34"/>
      <c r="L100" s="34"/>
      <c r="M100" s="32"/>
    </row>
    <row r="101" s="3" customFormat="1" ht="57" customHeight="1" spans="1:13">
      <c r="A101" s="21">
        <v>95</v>
      </c>
      <c r="B101" s="24" t="s">
        <v>176</v>
      </c>
      <c r="C101" s="24" t="s">
        <v>177</v>
      </c>
      <c r="D101" s="21" t="s">
        <v>73</v>
      </c>
      <c r="E101" s="24">
        <f>18+14+6</f>
        <v>38</v>
      </c>
      <c r="F101" s="24">
        <v>500</v>
      </c>
      <c r="G101" s="25">
        <f>550/1.13</f>
        <v>486.725663716814</v>
      </c>
      <c r="H101" s="21">
        <f t="shared" si="2"/>
        <v>19000</v>
      </c>
      <c r="I101" s="33">
        <f t="shared" si="3"/>
        <v>18495.5752212389</v>
      </c>
      <c r="J101" s="21" t="s">
        <v>17</v>
      </c>
      <c r="K101" s="34"/>
      <c r="L101" s="34"/>
      <c r="M101" s="32"/>
    </row>
    <row r="102" s="3" customFormat="1" ht="57" customHeight="1" spans="1:13">
      <c r="A102" s="21">
        <v>96</v>
      </c>
      <c r="B102" s="24" t="s">
        <v>178</v>
      </c>
      <c r="C102" s="24" t="s">
        <v>166</v>
      </c>
      <c r="D102" s="21" t="s">
        <v>73</v>
      </c>
      <c r="E102" s="24">
        <f>39+14+6</f>
        <v>59</v>
      </c>
      <c r="F102" s="24">
        <v>500</v>
      </c>
      <c r="G102" s="25">
        <f>550/1.13</f>
        <v>486.725663716814</v>
      </c>
      <c r="H102" s="21">
        <f t="shared" si="2"/>
        <v>29500</v>
      </c>
      <c r="I102" s="33">
        <f t="shared" si="3"/>
        <v>28716.814159292</v>
      </c>
      <c r="J102" s="21" t="s">
        <v>17</v>
      </c>
      <c r="K102" s="34"/>
      <c r="L102" s="34"/>
      <c r="M102" s="32"/>
    </row>
    <row r="103" s="3" customFormat="1" ht="27" customHeight="1" spans="1:13">
      <c r="A103" s="21">
        <v>97</v>
      </c>
      <c r="B103" s="24" t="s">
        <v>179</v>
      </c>
      <c r="C103" s="24" t="s">
        <v>180</v>
      </c>
      <c r="D103" s="21" t="s">
        <v>97</v>
      </c>
      <c r="E103" s="24">
        <v>1</v>
      </c>
      <c r="F103" s="24">
        <v>23750</v>
      </c>
      <c r="G103" s="25">
        <v>20700</v>
      </c>
      <c r="H103" s="21">
        <f t="shared" si="2"/>
        <v>23750</v>
      </c>
      <c r="I103" s="33">
        <f t="shared" si="3"/>
        <v>20700</v>
      </c>
      <c r="J103" s="21" t="s">
        <v>58</v>
      </c>
      <c r="K103" s="34"/>
      <c r="L103" s="34"/>
      <c r="M103" s="32"/>
    </row>
    <row r="104" s="3" customFormat="1" ht="27" customHeight="1" spans="1:13">
      <c r="A104" s="21">
        <v>98</v>
      </c>
      <c r="B104" s="24" t="s">
        <v>181</v>
      </c>
      <c r="C104" s="24" t="s">
        <v>180</v>
      </c>
      <c r="D104" s="21" t="s">
        <v>97</v>
      </c>
      <c r="E104" s="24">
        <v>1</v>
      </c>
      <c r="F104" s="24">
        <v>23750</v>
      </c>
      <c r="G104" s="25">
        <v>20700</v>
      </c>
      <c r="H104" s="21">
        <f t="shared" si="2"/>
        <v>23750</v>
      </c>
      <c r="I104" s="33">
        <f t="shared" si="3"/>
        <v>20700</v>
      </c>
      <c r="J104" s="21" t="s">
        <v>58</v>
      </c>
      <c r="K104" s="34"/>
      <c r="L104" s="34"/>
      <c r="M104" s="32"/>
    </row>
    <row r="105" s="3" customFormat="1" ht="27" customHeight="1" spans="1:13">
      <c r="A105" s="21">
        <v>99</v>
      </c>
      <c r="B105" s="24" t="s">
        <v>181</v>
      </c>
      <c r="C105" s="24" t="s">
        <v>182</v>
      </c>
      <c r="D105" s="21" t="s">
        <v>97</v>
      </c>
      <c r="E105" s="24">
        <v>1</v>
      </c>
      <c r="F105" s="24">
        <v>28750</v>
      </c>
      <c r="G105" s="25">
        <v>24100</v>
      </c>
      <c r="H105" s="21">
        <f t="shared" si="2"/>
        <v>28750</v>
      </c>
      <c r="I105" s="33">
        <f t="shared" si="3"/>
        <v>24100</v>
      </c>
      <c r="J105" s="21" t="s">
        <v>58</v>
      </c>
      <c r="K105" s="34"/>
      <c r="L105" s="34"/>
      <c r="M105" s="32"/>
    </row>
    <row r="106" s="3" customFormat="1" ht="27" customHeight="1" spans="1:13">
      <c r="A106" s="21">
        <v>100</v>
      </c>
      <c r="B106" s="24" t="s">
        <v>183</v>
      </c>
      <c r="C106" s="24" t="s">
        <v>182</v>
      </c>
      <c r="D106" s="21" t="s">
        <v>97</v>
      </c>
      <c r="E106" s="24">
        <v>1</v>
      </c>
      <c r="F106" s="24">
        <v>28750</v>
      </c>
      <c r="G106" s="25">
        <v>24100</v>
      </c>
      <c r="H106" s="21">
        <f t="shared" si="2"/>
        <v>28750</v>
      </c>
      <c r="I106" s="33">
        <f t="shared" si="3"/>
        <v>24100</v>
      </c>
      <c r="J106" s="21" t="s">
        <v>58</v>
      </c>
      <c r="K106" s="34"/>
      <c r="L106" s="34"/>
      <c r="M106" s="32"/>
    </row>
    <row r="107" s="3" customFormat="1" ht="57" customHeight="1" spans="1:13">
      <c r="A107" s="21">
        <v>101</v>
      </c>
      <c r="B107" s="24" t="s">
        <v>184</v>
      </c>
      <c r="C107" s="24" t="s">
        <v>166</v>
      </c>
      <c r="D107" s="21" t="s">
        <v>73</v>
      </c>
      <c r="E107" s="24">
        <v>10</v>
      </c>
      <c r="F107" s="24">
        <v>500</v>
      </c>
      <c r="G107" s="25">
        <f>550/1.13</f>
        <v>486.725663716814</v>
      </c>
      <c r="H107" s="21">
        <f t="shared" si="2"/>
        <v>5000</v>
      </c>
      <c r="I107" s="33">
        <f t="shared" si="3"/>
        <v>4867.25663716814</v>
      </c>
      <c r="J107" s="21" t="s">
        <v>17</v>
      </c>
      <c r="K107" s="34"/>
      <c r="L107" s="34"/>
      <c r="M107" s="32"/>
    </row>
    <row r="108" s="3" customFormat="1" ht="37" customHeight="1" spans="1:13">
      <c r="A108" s="21">
        <v>102</v>
      </c>
      <c r="B108" s="24" t="s">
        <v>185</v>
      </c>
      <c r="C108" s="24" t="s">
        <v>186</v>
      </c>
      <c r="D108" s="21" t="s">
        <v>13</v>
      </c>
      <c r="E108" s="24">
        <v>1</v>
      </c>
      <c r="F108" s="24">
        <v>65800</v>
      </c>
      <c r="G108" s="25">
        <f>95600/1.13*0+65800</f>
        <v>65800</v>
      </c>
      <c r="H108" s="21">
        <f t="shared" si="2"/>
        <v>65800</v>
      </c>
      <c r="I108" s="33">
        <f t="shared" si="3"/>
        <v>65800</v>
      </c>
      <c r="J108" s="21" t="s">
        <v>17</v>
      </c>
      <c r="K108" s="34"/>
      <c r="L108" s="34"/>
      <c r="M108" s="32"/>
    </row>
    <row r="109" s="3" customFormat="1" ht="27" customHeight="1" spans="1:13">
      <c r="A109" s="21">
        <v>103</v>
      </c>
      <c r="B109" s="24" t="s">
        <v>187</v>
      </c>
      <c r="C109" s="24" t="s">
        <v>188</v>
      </c>
      <c r="D109" s="21" t="s">
        <v>13</v>
      </c>
      <c r="E109" s="24">
        <f>29+4+15</f>
        <v>48</v>
      </c>
      <c r="F109" s="24">
        <v>180</v>
      </c>
      <c r="G109" s="25">
        <f>50/1.13</f>
        <v>44.2477876106195</v>
      </c>
      <c r="H109" s="22">
        <f t="shared" si="2"/>
        <v>8640</v>
      </c>
      <c r="I109" s="23">
        <f t="shared" si="3"/>
        <v>2123.89380530973</v>
      </c>
      <c r="J109" s="21" t="s">
        <v>58</v>
      </c>
      <c r="K109" s="34"/>
      <c r="L109" s="34"/>
      <c r="M109" s="32"/>
    </row>
    <row r="110" s="3" customFormat="1" ht="27" customHeight="1" spans="1:13">
      <c r="A110" s="21">
        <v>104</v>
      </c>
      <c r="B110" s="24" t="s">
        <v>187</v>
      </c>
      <c r="C110" s="24" t="s">
        <v>189</v>
      </c>
      <c r="D110" s="21" t="s">
        <v>13</v>
      </c>
      <c r="E110" s="24">
        <f>29+29+7+7+13+18+18+15+15+15+13+16+5</f>
        <v>200</v>
      </c>
      <c r="F110" s="24">
        <v>150</v>
      </c>
      <c r="G110" s="25">
        <f>44/1.13</f>
        <v>38.9380530973451</v>
      </c>
      <c r="H110" s="22">
        <f t="shared" si="2"/>
        <v>30000</v>
      </c>
      <c r="I110" s="23">
        <f t="shared" si="3"/>
        <v>7787.61061946903</v>
      </c>
      <c r="J110" s="21" t="s">
        <v>58</v>
      </c>
      <c r="K110" s="34"/>
      <c r="L110" s="34"/>
      <c r="M110" s="32"/>
    </row>
    <row r="111" s="3" customFormat="1" ht="27" customHeight="1" spans="1:13">
      <c r="A111" s="21">
        <v>105</v>
      </c>
      <c r="B111" s="24" t="s">
        <v>190</v>
      </c>
      <c r="C111" s="24" t="s">
        <v>191</v>
      </c>
      <c r="D111" s="21" t="s">
        <v>13</v>
      </c>
      <c r="E111" s="24">
        <v>186</v>
      </c>
      <c r="F111" s="24">
        <v>165</v>
      </c>
      <c r="G111" s="25">
        <f>118*1.05</f>
        <v>123.9</v>
      </c>
      <c r="H111" s="21">
        <f t="shared" si="2"/>
        <v>30690</v>
      </c>
      <c r="I111" s="33">
        <f t="shared" si="3"/>
        <v>23045.4</v>
      </c>
      <c r="J111" s="21" t="s">
        <v>58</v>
      </c>
      <c r="K111" s="34"/>
      <c r="L111" s="34"/>
      <c r="M111" s="32"/>
    </row>
    <row r="112" s="3" customFormat="1" ht="48" customHeight="1" spans="1:13">
      <c r="A112" s="21">
        <v>106</v>
      </c>
      <c r="B112" s="24" t="s">
        <v>192</v>
      </c>
      <c r="C112" s="24" t="s">
        <v>193</v>
      </c>
      <c r="D112" s="21" t="s">
        <v>13</v>
      </c>
      <c r="E112" s="24">
        <v>11</v>
      </c>
      <c r="F112" s="24">
        <v>15050</v>
      </c>
      <c r="G112" s="25">
        <f>13600/1.13</f>
        <v>12035.3982300885</v>
      </c>
      <c r="H112" s="21">
        <f t="shared" si="2"/>
        <v>165550</v>
      </c>
      <c r="I112" s="33">
        <f t="shared" si="3"/>
        <v>132389.380530973</v>
      </c>
      <c r="J112" s="21" t="s">
        <v>17</v>
      </c>
      <c r="K112" s="34"/>
      <c r="L112" s="34"/>
      <c r="M112" s="32"/>
    </row>
    <row r="113" s="3" customFormat="1" ht="48" customHeight="1" spans="1:13">
      <c r="A113" s="21">
        <v>107</v>
      </c>
      <c r="B113" s="24" t="s">
        <v>194</v>
      </c>
      <c r="C113" s="24" t="s">
        <v>195</v>
      </c>
      <c r="D113" s="21" t="s">
        <v>13</v>
      </c>
      <c r="E113" s="24">
        <v>7</v>
      </c>
      <c r="F113" s="24">
        <v>39000</v>
      </c>
      <c r="G113" s="25">
        <f>42500/1.13</f>
        <v>37610.6194690266</v>
      </c>
      <c r="H113" s="21">
        <f t="shared" si="2"/>
        <v>273000</v>
      </c>
      <c r="I113" s="33">
        <f t="shared" si="3"/>
        <v>263274.336283186</v>
      </c>
      <c r="J113" s="21" t="s">
        <v>17</v>
      </c>
      <c r="K113" s="34"/>
      <c r="L113" s="34"/>
      <c r="M113" s="32"/>
    </row>
    <row r="114" s="3" customFormat="1" ht="29" customHeight="1" spans="1:13">
      <c r="A114" s="21">
        <v>108</v>
      </c>
      <c r="B114" s="24" t="s">
        <v>196</v>
      </c>
      <c r="C114" s="24"/>
      <c r="D114" s="21" t="s">
        <v>197</v>
      </c>
      <c r="E114" s="24">
        <v>142</v>
      </c>
      <c r="F114" s="24">
        <v>1469</v>
      </c>
      <c r="G114" s="25">
        <f>1020/1.13</f>
        <v>902.654867256637</v>
      </c>
      <c r="H114" s="21">
        <f t="shared" si="2"/>
        <v>208598</v>
      </c>
      <c r="I114" s="33">
        <f t="shared" si="3"/>
        <v>128176.991150442</v>
      </c>
      <c r="J114" s="21" t="s">
        <v>58</v>
      </c>
      <c r="K114" s="34"/>
      <c r="L114" s="34"/>
      <c r="M114" s="32"/>
    </row>
    <row r="115" s="3" customFormat="1" ht="29" customHeight="1" spans="1:13">
      <c r="A115" s="21">
        <v>109</v>
      </c>
      <c r="B115" s="24" t="s">
        <v>198</v>
      </c>
      <c r="C115" s="24"/>
      <c r="D115" s="21" t="s">
        <v>197</v>
      </c>
      <c r="E115" s="24">
        <v>38</v>
      </c>
      <c r="F115" s="24">
        <v>1450</v>
      </c>
      <c r="G115" s="25">
        <f>1200/1.13</f>
        <v>1061.94690265487</v>
      </c>
      <c r="H115" s="21">
        <f t="shared" si="2"/>
        <v>55100</v>
      </c>
      <c r="I115" s="33">
        <f t="shared" si="3"/>
        <v>40353.982300885</v>
      </c>
      <c r="J115" s="21" t="s">
        <v>58</v>
      </c>
      <c r="K115" s="34"/>
      <c r="L115" s="34"/>
      <c r="M115" s="32"/>
    </row>
    <row r="116" s="3" customFormat="1" ht="45" customHeight="1" spans="1:13">
      <c r="A116" s="21">
        <v>110</v>
      </c>
      <c r="B116" s="24" t="s">
        <v>199</v>
      </c>
      <c r="C116" s="24" t="s">
        <v>200</v>
      </c>
      <c r="D116" s="21" t="s">
        <v>13</v>
      </c>
      <c r="E116" s="24">
        <v>6</v>
      </c>
      <c r="F116" s="24">
        <v>10500</v>
      </c>
      <c r="G116" s="25">
        <f>10600/1.13</f>
        <v>9380.53097345133</v>
      </c>
      <c r="H116" s="21">
        <f t="shared" si="2"/>
        <v>63000</v>
      </c>
      <c r="I116" s="33">
        <f t="shared" si="3"/>
        <v>56283.185840708</v>
      </c>
      <c r="J116" s="21" t="s">
        <v>17</v>
      </c>
      <c r="K116" s="34"/>
      <c r="L116" s="34"/>
      <c r="M116" s="32"/>
    </row>
    <row r="117" s="3" customFormat="1" ht="45" customHeight="1" spans="1:13">
      <c r="A117" s="21">
        <v>111</v>
      </c>
      <c r="B117" s="24" t="s">
        <v>201</v>
      </c>
      <c r="C117" s="24" t="s">
        <v>202</v>
      </c>
      <c r="D117" s="21" t="s">
        <v>13</v>
      </c>
      <c r="E117" s="24">
        <v>10</v>
      </c>
      <c r="F117" s="24">
        <v>12600</v>
      </c>
      <c r="G117" s="25">
        <f>15200/1.13*0+12600</f>
        <v>12600</v>
      </c>
      <c r="H117" s="21">
        <f t="shared" si="2"/>
        <v>126000</v>
      </c>
      <c r="I117" s="33">
        <f t="shared" si="3"/>
        <v>126000</v>
      </c>
      <c r="J117" s="21" t="s">
        <v>17</v>
      </c>
      <c r="K117" s="34"/>
      <c r="L117" s="34"/>
      <c r="M117" s="32"/>
    </row>
    <row r="118" s="3" customFormat="1" ht="45" customHeight="1" spans="1:13">
      <c r="A118" s="21">
        <v>112</v>
      </c>
      <c r="B118" s="24" t="s">
        <v>203</v>
      </c>
      <c r="C118" s="24" t="s">
        <v>204</v>
      </c>
      <c r="D118" s="21" t="s">
        <v>13</v>
      </c>
      <c r="E118" s="24">
        <v>1</v>
      </c>
      <c r="F118" s="24">
        <v>2700</v>
      </c>
      <c r="G118" s="25">
        <f>3200/1.13*0+2700</f>
        <v>2700</v>
      </c>
      <c r="H118" s="21">
        <f t="shared" si="2"/>
        <v>2700</v>
      </c>
      <c r="I118" s="33">
        <f t="shared" si="3"/>
        <v>2700</v>
      </c>
      <c r="J118" s="21" t="s">
        <v>17</v>
      </c>
      <c r="K118" s="34"/>
      <c r="L118" s="34"/>
      <c r="M118" s="32"/>
    </row>
    <row r="119" s="3" customFormat="1" ht="51" customHeight="1" spans="1:13">
      <c r="A119" s="21">
        <v>113</v>
      </c>
      <c r="B119" s="24" t="s">
        <v>205</v>
      </c>
      <c r="C119" s="24" t="s">
        <v>206</v>
      </c>
      <c r="D119" s="21" t="s">
        <v>13</v>
      </c>
      <c r="E119" s="24">
        <v>1</v>
      </c>
      <c r="F119" s="24">
        <v>3717</v>
      </c>
      <c r="G119" s="25">
        <f>2700/1.13</f>
        <v>2389.38053097345</v>
      </c>
      <c r="H119" s="21">
        <f t="shared" si="2"/>
        <v>3717</v>
      </c>
      <c r="I119" s="33">
        <f t="shared" si="3"/>
        <v>2389.38053097345</v>
      </c>
      <c r="J119" s="21" t="s">
        <v>139</v>
      </c>
      <c r="K119" s="34"/>
      <c r="L119" s="34"/>
      <c r="M119" s="32"/>
    </row>
    <row r="120" s="3" customFormat="1" ht="60" customHeight="1" spans="1:13">
      <c r="A120" s="21">
        <v>114</v>
      </c>
      <c r="B120" s="24" t="s">
        <v>207</v>
      </c>
      <c r="C120" s="24" t="s">
        <v>208</v>
      </c>
      <c r="D120" s="21" t="s">
        <v>13</v>
      </c>
      <c r="E120" s="24">
        <v>15</v>
      </c>
      <c r="F120" s="24">
        <v>8000</v>
      </c>
      <c r="G120" s="25">
        <f>5250/1.13</f>
        <v>4646.01769911504</v>
      </c>
      <c r="H120" s="21">
        <f t="shared" si="2"/>
        <v>120000</v>
      </c>
      <c r="I120" s="33">
        <f t="shared" si="3"/>
        <v>69690.2654867257</v>
      </c>
      <c r="J120" s="21" t="s">
        <v>139</v>
      </c>
      <c r="K120" s="34"/>
      <c r="L120" s="34"/>
      <c r="M120" s="32"/>
    </row>
    <row r="121" s="3" customFormat="1" ht="45" customHeight="1" spans="1:13">
      <c r="A121" s="21">
        <v>115</v>
      </c>
      <c r="B121" s="24" t="s">
        <v>209</v>
      </c>
      <c r="C121" s="24" t="s">
        <v>210</v>
      </c>
      <c r="D121" s="21" t="s">
        <v>13</v>
      </c>
      <c r="E121" s="24">
        <v>8</v>
      </c>
      <c r="F121" s="24">
        <v>2200</v>
      </c>
      <c r="G121" s="25">
        <f>2350/1.13</f>
        <v>2079.64601769912</v>
      </c>
      <c r="H121" s="21">
        <f t="shared" si="2"/>
        <v>17600</v>
      </c>
      <c r="I121" s="33">
        <f t="shared" si="3"/>
        <v>16637.1681415929</v>
      </c>
      <c r="J121" s="21" t="s">
        <v>17</v>
      </c>
      <c r="K121" s="34"/>
      <c r="L121" s="34"/>
      <c r="M121" s="32"/>
    </row>
    <row r="122" s="3" customFormat="1" ht="45" customHeight="1" spans="1:13">
      <c r="A122" s="21">
        <v>116</v>
      </c>
      <c r="B122" s="24" t="s">
        <v>211</v>
      </c>
      <c r="C122" s="24" t="s">
        <v>212</v>
      </c>
      <c r="D122" s="21" t="s">
        <v>13</v>
      </c>
      <c r="E122" s="24">
        <v>10</v>
      </c>
      <c r="F122" s="24">
        <v>2800</v>
      </c>
      <c r="G122" s="25">
        <f>3120/1.13</f>
        <v>2761.06194690266</v>
      </c>
      <c r="H122" s="21">
        <f t="shared" si="2"/>
        <v>28000</v>
      </c>
      <c r="I122" s="33">
        <f t="shared" si="3"/>
        <v>27610.6194690266</v>
      </c>
      <c r="J122" s="21" t="s">
        <v>17</v>
      </c>
      <c r="K122" s="34"/>
      <c r="L122" s="34"/>
      <c r="M122" s="32"/>
    </row>
    <row r="123" s="3" customFormat="1" ht="24" customHeight="1" spans="1:13">
      <c r="A123" s="21">
        <v>117</v>
      </c>
      <c r="B123" s="24" t="s">
        <v>213</v>
      </c>
      <c r="C123" s="24"/>
      <c r="D123" s="21" t="s">
        <v>73</v>
      </c>
      <c r="E123" s="24">
        <v>15</v>
      </c>
      <c r="F123" s="24">
        <v>1200</v>
      </c>
      <c r="G123" s="25">
        <f>1160/1.13</f>
        <v>1026.54867256637</v>
      </c>
      <c r="H123" s="21">
        <f t="shared" si="2"/>
        <v>18000</v>
      </c>
      <c r="I123" s="33">
        <f t="shared" si="3"/>
        <v>15398.2300884956</v>
      </c>
      <c r="J123" s="21" t="s">
        <v>17</v>
      </c>
      <c r="K123" s="34"/>
      <c r="L123" s="34"/>
      <c r="M123" s="32"/>
    </row>
    <row r="124" s="3" customFormat="1" ht="25" customHeight="1" spans="1:13">
      <c r="A124" s="21">
        <v>118</v>
      </c>
      <c r="B124" s="24" t="s">
        <v>214</v>
      </c>
      <c r="C124" s="24" t="s">
        <v>215</v>
      </c>
      <c r="D124" s="21" t="s">
        <v>216</v>
      </c>
      <c r="E124" s="24">
        <v>4482.5</v>
      </c>
      <c r="F124" s="24">
        <v>169.53</v>
      </c>
      <c r="G124" s="36">
        <f>155/1.13</f>
        <v>137.16814159292</v>
      </c>
      <c r="H124" s="37">
        <f t="shared" ref="H124:H147" si="6">E124*F124</f>
        <v>759918.225</v>
      </c>
      <c r="I124" s="38">
        <f t="shared" ref="I124:I148" si="7">E124*G124</f>
        <v>614856.194690266</v>
      </c>
      <c r="J124" s="21" t="s">
        <v>58</v>
      </c>
      <c r="K124" s="34"/>
      <c r="L124" s="34"/>
      <c r="M124" s="32"/>
    </row>
    <row r="125" s="3" customFormat="1" ht="25" customHeight="1" spans="1:13">
      <c r="A125" s="21">
        <v>119</v>
      </c>
      <c r="B125" s="24" t="s">
        <v>217</v>
      </c>
      <c r="C125" s="24" t="s">
        <v>215</v>
      </c>
      <c r="D125" s="21" t="s">
        <v>216</v>
      </c>
      <c r="E125" s="24">
        <v>654.5</v>
      </c>
      <c r="F125" s="24">
        <v>239.16</v>
      </c>
      <c r="G125" s="36">
        <f>225/1.13</f>
        <v>199.115044247788</v>
      </c>
      <c r="H125" s="37">
        <f t="shared" si="6"/>
        <v>156530.22</v>
      </c>
      <c r="I125" s="38">
        <f t="shared" si="7"/>
        <v>130320.796460177</v>
      </c>
      <c r="J125" s="21" t="s">
        <v>58</v>
      </c>
      <c r="K125" s="34"/>
      <c r="L125" s="34"/>
      <c r="M125" s="32"/>
    </row>
    <row r="126" s="3" customFormat="1" ht="25" customHeight="1" spans="1:14">
      <c r="A126" s="21">
        <v>120</v>
      </c>
      <c r="B126" s="24" t="s">
        <v>218</v>
      </c>
      <c r="C126" s="24" t="s">
        <v>219</v>
      </c>
      <c r="D126" s="21" t="s">
        <v>216</v>
      </c>
      <c r="E126" s="24">
        <v>13078.58</v>
      </c>
      <c r="F126" s="24">
        <v>156.87</v>
      </c>
      <c r="G126" s="36">
        <f>140/1.13+10</f>
        <v>133.893805309735</v>
      </c>
      <c r="H126" s="37">
        <f t="shared" si="6"/>
        <v>2051636.8446</v>
      </c>
      <c r="I126" s="39">
        <f t="shared" si="7"/>
        <v>1751140.84424779</v>
      </c>
      <c r="J126" s="21" t="s">
        <v>58</v>
      </c>
      <c r="K126" s="34"/>
      <c r="L126" s="34"/>
      <c r="M126" s="40"/>
      <c r="N126" s="41"/>
    </row>
    <row r="127" s="3" customFormat="1" ht="25" customHeight="1" spans="1:13">
      <c r="A127" s="21">
        <v>121</v>
      </c>
      <c r="B127" s="24" t="s">
        <v>220</v>
      </c>
      <c r="C127" s="24"/>
      <c r="D127" s="21" t="s">
        <v>197</v>
      </c>
      <c r="E127" s="24">
        <f>7.89*2</f>
        <v>15.78</v>
      </c>
      <c r="F127" s="24">
        <v>1947.76</v>
      </c>
      <c r="G127" s="36">
        <f>1900/1.13</f>
        <v>1681.41592920354</v>
      </c>
      <c r="H127" s="38">
        <f t="shared" si="6"/>
        <v>30735.6528</v>
      </c>
      <c r="I127" s="38">
        <f t="shared" si="7"/>
        <v>26532.7433628319</v>
      </c>
      <c r="J127" s="21" t="s">
        <v>58</v>
      </c>
      <c r="K127" s="34"/>
      <c r="L127" s="34"/>
      <c r="M127" s="32"/>
    </row>
    <row r="128" s="3" customFormat="1" ht="25" customHeight="1" spans="1:13">
      <c r="A128" s="21">
        <v>122</v>
      </c>
      <c r="B128" s="24" t="s">
        <v>221</v>
      </c>
      <c r="C128" s="24" t="s">
        <v>222</v>
      </c>
      <c r="D128" s="21" t="s">
        <v>216</v>
      </c>
      <c r="E128" s="24">
        <v>877.21</v>
      </c>
      <c r="F128" s="24">
        <v>400</v>
      </c>
      <c r="G128" s="36">
        <v>194.69</v>
      </c>
      <c r="H128" s="37">
        <f t="shared" si="6"/>
        <v>350884</v>
      </c>
      <c r="I128" s="39">
        <f t="shared" si="7"/>
        <v>170784.0149</v>
      </c>
      <c r="J128" s="21" t="s">
        <v>58</v>
      </c>
      <c r="K128" s="34"/>
      <c r="L128" s="34"/>
      <c r="M128" s="32"/>
    </row>
    <row r="129" s="3" customFormat="1" ht="25" customHeight="1" spans="1:13">
      <c r="A129" s="21">
        <v>123</v>
      </c>
      <c r="B129" s="24" t="s">
        <v>223</v>
      </c>
      <c r="C129" s="24"/>
      <c r="D129" s="21" t="s">
        <v>216</v>
      </c>
      <c r="E129" s="24">
        <v>324</v>
      </c>
      <c r="F129" s="24">
        <v>681.24</v>
      </c>
      <c r="G129" s="36">
        <f>706.6/1.13</f>
        <v>625.309734513274</v>
      </c>
      <c r="H129" s="37">
        <f t="shared" si="6"/>
        <v>220721.76</v>
      </c>
      <c r="I129" s="39">
        <f t="shared" si="7"/>
        <v>202600.353982301</v>
      </c>
      <c r="J129" s="21" t="s">
        <v>17</v>
      </c>
      <c r="K129" s="34"/>
      <c r="L129" s="34"/>
      <c r="M129" s="32"/>
    </row>
    <row r="130" s="3" customFormat="1" ht="25" customHeight="1" spans="1:13">
      <c r="A130" s="21">
        <v>124</v>
      </c>
      <c r="B130" s="24" t="s">
        <v>224</v>
      </c>
      <c r="C130" s="24"/>
      <c r="D130" s="21" t="s">
        <v>216</v>
      </c>
      <c r="E130" s="24">
        <v>476</v>
      </c>
      <c r="F130" s="24">
        <v>454.16</v>
      </c>
      <c r="G130" s="36">
        <f>452.6/1.13</f>
        <v>400.530973451327</v>
      </c>
      <c r="H130" s="37">
        <f t="shared" si="6"/>
        <v>216180.16</v>
      </c>
      <c r="I130" s="39">
        <f t="shared" si="7"/>
        <v>190652.743362832</v>
      </c>
      <c r="J130" s="21" t="s">
        <v>17</v>
      </c>
      <c r="K130" s="34"/>
      <c r="L130" s="34"/>
      <c r="M130" s="32"/>
    </row>
    <row r="131" s="3" customFormat="1" ht="25" customHeight="1" spans="1:13">
      <c r="A131" s="21">
        <v>125</v>
      </c>
      <c r="B131" s="24" t="s">
        <v>225</v>
      </c>
      <c r="C131" s="24"/>
      <c r="D131" s="21" t="s">
        <v>216</v>
      </c>
      <c r="E131" s="24">
        <v>125.16</v>
      </c>
      <c r="F131" s="24">
        <v>1625</v>
      </c>
      <c r="G131" s="36">
        <f>1755/1.13</f>
        <v>1553.09734513274</v>
      </c>
      <c r="H131" s="37">
        <f t="shared" si="6"/>
        <v>203385</v>
      </c>
      <c r="I131" s="39">
        <f t="shared" si="7"/>
        <v>194385.663716814</v>
      </c>
      <c r="J131" s="21" t="s">
        <v>17</v>
      </c>
      <c r="K131" s="34"/>
      <c r="L131" s="34"/>
      <c r="M131" s="32"/>
    </row>
    <row r="132" s="3" customFormat="1" ht="25" customHeight="1" spans="1:13">
      <c r="A132" s="21">
        <v>126</v>
      </c>
      <c r="B132" s="24" t="s">
        <v>226</v>
      </c>
      <c r="C132" s="24"/>
      <c r="D132" s="21" t="s">
        <v>216</v>
      </c>
      <c r="E132" s="24">
        <v>15.75</v>
      </c>
      <c r="F132" s="24">
        <v>4500</v>
      </c>
      <c r="G132" s="36">
        <f>3900/1.13</f>
        <v>3451.32743362832</v>
      </c>
      <c r="H132" s="37">
        <f t="shared" si="6"/>
        <v>70875</v>
      </c>
      <c r="I132" s="39">
        <f t="shared" si="7"/>
        <v>54358.407079646</v>
      </c>
      <c r="J132" s="21" t="s">
        <v>17</v>
      </c>
      <c r="K132" s="34"/>
      <c r="L132" s="34"/>
      <c r="M132" s="32"/>
    </row>
    <row r="133" s="3" customFormat="1" ht="25" customHeight="1" spans="1:13">
      <c r="A133" s="21">
        <v>127</v>
      </c>
      <c r="B133" s="24" t="s">
        <v>227</v>
      </c>
      <c r="C133" s="24"/>
      <c r="D133" s="21" t="s">
        <v>216</v>
      </c>
      <c r="E133" s="24">
        <v>6.3</v>
      </c>
      <c r="F133" s="24">
        <v>6680</v>
      </c>
      <c r="G133" s="36">
        <f>6810/1.13</f>
        <v>6026.54867256637</v>
      </c>
      <c r="H133" s="37">
        <f t="shared" si="6"/>
        <v>42084</v>
      </c>
      <c r="I133" s="39">
        <f t="shared" si="7"/>
        <v>37967.2566371681</v>
      </c>
      <c r="J133" s="21" t="s">
        <v>17</v>
      </c>
      <c r="K133" s="34"/>
      <c r="L133" s="34"/>
      <c r="M133" s="32"/>
    </row>
    <row r="134" s="3" customFormat="1" ht="25" customHeight="1" spans="1:13">
      <c r="A134" s="21">
        <v>128</v>
      </c>
      <c r="B134" s="24" t="s">
        <v>228</v>
      </c>
      <c r="C134" s="24"/>
      <c r="D134" s="21" t="s">
        <v>216</v>
      </c>
      <c r="E134" s="24">
        <v>11.97</v>
      </c>
      <c r="F134" s="24">
        <v>6270</v>
      </c>
      <c r="G134" s="36">
        <f>6400/1.13</f>
        <v>5663.71681415929</v>
      </c>
      <c r="H134" s="37">
        <f t="shared" si="6"/>
        <v>75051.9</v>
      </c>
      <c r="I134" s="39">
        <f t="shared" si="7"/>
        <v>67794.6902654867</v>
      </c>
      <c r="J134" s="21" t="s">
        <v>17</v>
      </c>
      <c r="K134" s="34"/>
      <c r="L134" s="34"/>
      <c r="M134" s="32"/>
    </row>
    <row r="135" s="3" customFormat="1" ht="25" customHeight="1" spans="1:13">
      <c r="A135" s="21">
        <v>129</v>
      </c>
      <c r="B135" s="24" t="s">
        <v>229</v>
      </c>
      <c r="C135" s="24"/>
      <c r="D135" s="21" t="s">
        <v>216</v>
      </c>
      <c r="E135" s="24">
        <v>6.3</v>
      </c>
      <c r="F135" s="24">
        <v>4200</v>
      </c>
      <c r="G135" s="36">
        <f>4330/1.13</f>
        <v>3831.85840707965</v>
      </c>
      <c r="H135" s="37">
        <f t="shared" si="6"/>
        <v>26460</v>
      </c>
      <c r="I135" s="39">
        <f t="shared" si="7"/>
        <v>24140.7079646018</v>
      </c>
      <c r="J135" s="21" t="s">
        <v>17</v>
      </c>
      <c r="K135" s="34"/>
      <c r="L135" s="34"/>
      <c r="M135" s="32"/>
    </row>
    <row r="136" s="3" customFormat="1" ht="25" customHeight="1" spans="1:13">
      <c r="A136" s="21">
        <v>130</v>
      </c>
      <c r="B136" s="24" t="s">
        <v>230</v>
      </c>
      <c r="C136" s="24"/>
      <c r="D136" s="21" t="s">
        <v>216</v>
      </c>
      <c r="E136" s="24">
        <v>6.18</v>
      </c>
      <c r="F136" s="24">
        <v>3850</v>
      </c>
      <c r="G136" s="36">
        <f>3980/1.13</f>
        <v>3522.12389380531</v>
      </c>
      <c r="H136" s="37">
        <f t="shared" si="6"/>
        <v>23793</v>
      </c>
      <c r="I136" s="39">
        <f t="shared" si="7"/>
        <v>21766.7256637168</v>
      </c>
      <c r="J136" s="21" t="s">
        <v>17</v>
      </c>
      <c r="K136" s="34"/>
      <c r="L136" s="34"/>
      <c r="M136" s="32"/>
    </row>
    <row r="137" s="3" customFormat="1" ht="36" customHeight="1" spans="1:15">
      <c r="A137" s="21">
        <v>131</v>
      </c>
      <c r="B137" s="24" t="s">
        <v>231</v>
      </c>
      <c r="C137" s="24" t="s">
        <v>232</v>
      </c>
      <c r="D137" s="21" t="s">
        <v>13</v>
      </c>
      <c r="E137" s="24">
        <v>74</v>
      </c>
      <c r="F137" s="24">
        <v>6528</v>
      </c>
      <c r="G137" s="36">
        <f>4200/1.05*1.05</f>
        <v>4200</v>
      </c>
      <c r="H137" s="37">
        <f t="shared" si="6"/>
        <v>483072</v>
      </c>
      <c r="I137" s="39">
        <f t="shared" si="7"/>
        <v>310800</v>
      </c>
      <c r="J137" s="21" t="s">
        <v>58</v>
      </c>
      <c r="K137" s="34"/>
      <c r="L137" s="34"/>
      <c r="M137" s="32"/>
      <c r="O137" s="41"/>
    </row>
    <row r="138" s="3" customFormat="1" ht="36" customHeight="1" spans="1:15">
      <c r="A138" s="21">
        <v>132</v>
      </c>
      <c r="B138" s="24" t="s">
        <v>233</v>
      </c>
      <c r="C138" s="24" t="s">
        <v>234</v>
      </c>
      <c r="D138" s="21" t="s">
        <v>97</v>
      </c>
      <c r="E138" s="24">
        <v>18</v>
      </c>
      <c r="F138" s="24">
        <v>1800</v>
      </c>
      <c r="G138" s="36">
        <f>1500/1.13</f>
        <v>1327.43362831858</v>
      </c>
      <c r="H138" s="37">
        <f t="shared" si="6"/>
        <v>32400</v>
      </c>
      <c r="I138" s="39">
        <f t="shared" si="7"/>
        <v>23893.8053097345</v>
      </c>
      <c r="J138" s="21" t="s">
        <v>17</v>
      </c>
      <c r="K138" s="34"/>
      <c r="L138" s="34"/>
      <c r="M138" s="32"/>
      <c r="O138" s="41"/>
    </row>
    <row r="139" s="3" customFormat="1" ht="36" customHeight="1" spans="1:15">
      <c r="A139" s="21">
        <v>133</v>
      </c>
      <c r="B139" s="24" t="s">
        <v>235</v>
      </c>
      <c r="C139" s="24" t="s">
        <v>236</v>
      </c>
      <c r="D139" s="21" t="s">
        <v>97</v>
      </c>
      <c r="E139" s="24">
        <v>6</v>
      </c>
      <c r="F139" s="24">
        <v>19500</v>
      </c>
      <c r="G139" s="36">
        <f>13800/1.13</f>
        <v>12212.389380531</v>
      </c>
      <c r="H139" s="37">
        <f t="shared" si="6"/>
        <v>117000</v>
      </c>
      <c r="I139" s="39">
        <f t="shared" si="7"/>
        <v>73274.3362831858</v>
      </c>
      <c r="J139" s="21" t="s">
        <v>58</v>
      </c>
      <c r="K139" s="34"/>
      <c r="L139" s="34"/>
      <c r="M139" s="32"/>
      <c r="O139" s="72"/>
    </row>
    <row r="140" s="3" customFormat="1" ht="36" customHeight="1" spans="1:15">
      <c r="A140" s="21">
        <v>134</v>
      </c>
      <c r="B140" s="24" t="s">
        <v>237</v>
      </c>
      <c r="C140" s="24" t="s">
        <v>238</v>
      </c>
      <c r="D140" s="21" t="s">
        <v>169</v>
      </c>
      <c r="E140" s="24">
        <f>192+95</f>
        <v>287</v>
      </c>
      <c r="F140" s="24">
        <v>150</v>
      </c>
      <c r="G140" s="36">
        <f>100*1.05*1.1</f>
        <v>115.5</v>
      </c>
      <c r="H140" s="37">
        <f t="shared" si="6"/>
        <v>43050</v>
      </c>
      <c r="I140" s="39">
        <f t="shared" si="7"/>
        <v>33148.5</v>
      </c>
      <c r="J140" s="21" t="s">
        <v>58</v>
      </c>
      <c r="K140" s="34"/>
      <c r="L140" s="34"/>
      <c r="M140" s="32"/>
      <c r="O140" s="41"/>
    </row>
    <row r="141" s="3" customFormat="1" ht="36" customHeight="1" spans="1:15">
      <c r="A141" s="21">
        <v>135</v>
      </c>
      <c r="B141" s="24" t="s">
        <v>239</v>
      </c>
      <c r="C141" s="24" t="s">
        <v>240</v>
      </c>
      <c r="D141" s="21" t="s">
        <v>169</v>
      </c>
      <c r="E141" s="24">
        <f>39+33.6+27.8</f>
        <v>100.4</v>
      </c>
      <c r="F141" s="24">
        <v>150</v>
      </c>
      <c r="G141" s="36">
        <f>156/1.13</f>
        <v>138.053097345133</v>
      </c>
      <c r="H141" s="37">
        <f t="shared" si="6"/>
        <v>15060</v>
      </c>
      <c r="I141" s="39">
        <f t="shared" si="7"/>
        <v>13860.5309734513</v>
      </c>
      <c r="J141" s="21" t="s">
        <v>17</v>
      </c>
      <c r="K141" s="34"/>
      <c r="L141" s="34"/>
      <c r="M141" s="32"/>
      <c r="O141" s="72"/>
    </row>
    <row r="142" s="3" customFormat="1" ht="36" customHeight="1" spans="1:15">
      <c r="A142" s="21">
        <v>136</v>
      </c>
      <c r="B142" s="24" t="s">
        <v>241</v>
      </c>
      <c r="C142" s="24" t="s">
        <v>242</v>
      </c>
      <c r="D142" s="21" t="s">
        <v>243</v>
      </c>
      <c r="E142" s="24">
        <v>1</v>
      </c>
      <c r="F142" s="24">
        <v>4000</v>
      </c>
      <c r="G142" s="36">
        <f>3850/1.13</f>
        <v>3407.0796460177</v>
      </c>
      <c r="H142" s="37">
        <f t="shared" si="6"/>
        <v>4000</v>
      </c>
      <c r="I142" s="39">
        <f t="shared" si="7"/>
        <v>3407.0796460177</v>
      </c>
      <c r="J142" s="21" t="s">
        <v>17</v>
      </c>
      <c r="K142" s="34"/>
      <c r="L142" s="34"/>
      <c r="M142" s="32"/>
      <c r="O142" s="72"/>
    </row>
    <row r="143" s="3" customFormat="1" ht="25" customHeight="1" spans="1:15">
      <c r="A143" s="21">
        <v>137</v>
      </c>
      <c r="B143" s="24" t="s">
        <v>244</v>
      </c>
      <c r="C143" s="24"/>
      <c r="D143" s="21" t="s">
        <v>243</v>
      </c>
      <c r="E143" s="24">
        <v>2</v>
      </c>
      <c r="F143" s="24">
        <v>20000</v>
      </c>
      <c r="G143" s="36">
        <f>18600/1.13</f>
        <v>16460.1769911504</v>
      </c>
      <c r="H143" s="37">
        <f t="shared" si="6"/>
        <v>40000</v>
      </c>
      <c r="I143" s="39">
        <f t="shared" si="7"/>
        <v>32920.3539823009</v>
      </c>
      <c r="J143" s="21" t="s">
        <v>17</v>
      </c>
      <c r="K143" s="34"/>
      <c r="L143" s="34"/>
      <c r="M143" s="32"/>
      <c r="O143" s="72"/>
    </row>
    <row r="144" s="3" customFormat="1" ht="42" customHeight="1" spans="1:15">
      <c r="A144" s="21">
        <v>138</v>
      </c>
      <c r="B144" s="24" t="s">
        <v>245</v>
      </c>
      <c r="C144" s="24" t="s">
        <v>246</v>
      </c>
      <c r="D144" s="21" t="s">
        <v>216</v>
      </c>
      <c r="E144" s="24">
        <f>14.07+91.77</f>
        <v>105.84</v>
      </c>
      <c r="F144" s="24">
        <v>650</v>
      </c>
      <c r="G144" s="36">
        <v>650</v>
      </c>
      <c r="H144" s="37">
        <f t="shared" si="6"/>
        <v>68796</v>
      </c>
      <c r="I144" s="39">
        <f t="shared" si="7"/>
        <v>68796</v>
      </c>
      <c r="J144" s="21" t="s">
        <v>58</v>
      </c>
      <c r="K144" s="34"/>
      <c r="L144" s="34"/>
      <c r="M144" s="32"/>
      <c r="O144" s="72"/>
    </row>
    <row r="145" s="3" customFormat="1" ht="42" customHeight="1" spans="1:15">
      <c r="A145" s="21">
        <v>139</v>
      </c>
      <c r="B145" s="24" t="s">
        <v>241</v>
      </c>
      <c r="C145" s="24" t="s">
        <v>247</v>
      </c>
      <c r="D145" s="21" t="s">
        <v>243</v>
      </c>
      <c r="E145" s="24">
        <v>1</v>
      </c>
      <c r="F145" s="24">
        <v>2200</v>
      </c>
      <c r="G145" s="36">
        <f>2480/1.13</f>
        <v>2194.69026548673</v>
      </c>
      <c r="H145" s="37">
        <f t="shared" si="6"/>
        <v>2200</v>
      </c>
      <c r="I145" s="39">
        <f t="shared" si="7"/>
        <v>2194.69026548673</v>
      </c>
      <c r="J145" s="21" t="s">
        <v>17</v>
      </c>
      <c r="K145" s="34"/>
      <c r="L145" s="34"/>
      <c r="M145" s="32"/>
      <c r="O145" s="72"/>
    </row>
    <row r="146" s="3" customFormat="1" ht="25" customHeight="1" spans="1:15">
      <c r="A146" s="21">
        <v>140</v>
      </c>
      <c r="B146" s="24" t="s">
        <v>248</v>
      </c>
      <c r="C146" s="24" t="s">
        <v>249</v>
      </c>
      <c r="D146" s="21" t="s">
        <v>216</v>
      </c>
      <c r="E146" s="24">
        <v>1533.06</v>
      </c>
      <c r="F146" s="24">
        <v>65.19</v>
      </c>
      <c r="G146" s="36">
        <v>65.19</v>
      </c>
      <c r="H146" s="36">
        <f t="shared" si="6"/>
        <v>99940.1814</v>
      </c>
      <c r="I146" s="36">
        <f t="shared" si="7"/>
        <v>99940.1814</v>
      </c>
      <c r="J146" s="21" t="s">
        <v>58</v>
      </c>
      <c r="K146" s="34"/>
      <c r="L146" s="34"/>
      <c r="M146" s="32"/>
      <c r="O146" s="72"/>
    </row>
    <row r="147" s="3" customFormat="1" ht="25" customHeight="1" spans="1:15">
      <c r="A147" s="21">
        <v>141</v>
      </c>
      <c r="B147" s="24" t="s">
        <v>250</v>
      </c>
      <c r="C147" s="24"/>
      <c r="D147" s="37" t="s">
        <v>216</v>
      </c>
      <c r="E147" s="24">
        <v>48.96</v>
      </c>
      <c r="F147" s="24">
        <v>354.14</v>
      </c>
      <c r="G147" s="25">
        <v>223</v>
      </c>
      <c r="H147" s="36">
        <f t="shared" si="6"/>
        <v>17338.6944</v>
      </c>
      <c r="I147" s="36">
        <f t="shared" si="7"/>
        <v>10918.08</v>
      </c>
      <c r="J147" s="37" t="s">
        <v>58</v>
      </c>
      <c r="K147" s="34"/>
      <c r="L147" s="34"/>
      <c r="M147" s="32"/>
      <c r="O147" s="72"/>
    </row>
    <row r="148" s="3" customFormat="1" ht="25" customHeight="1" spans="1:15">
      <c r="A148" s="21">
        <v>142</v>
      </c>
      <c r="B148" s="24" t="s">
        <v>251</v>
      </c>
      <c r="C148" s="24" t="s">
        <v>252</v>
      </c>
      <c r="D148" s="37" t="s">
        <v>13</v>
      </c>
      <c r="E148" s="24">
        <v>1</v>
      </c>
      <c r="F148" s="24">
        <v>37500</v>
      </c>
      <c r="G148" s="25">
        <f>36000/1.13</f>
        <v>31858.407079646</v>
      </c>
      <c r="H148" s="36">
        <f t="shared" ref="H148:H157" si="8">F148*E148</f>
        <v>37500</v>
      </c>
      <c r="I148" s="25">
        <f t="shared" si="7"/>
        <v>31858.407079646</v>
      </c>
      <c r="J148" s="37" t="s">
        <v>58</v>
      </c>
      <c r="K148" s="34"/>
      <c r="L148" s="34"/>
      <c r="M148" s="32"/>
      <c r="O148" s="72"/>
    </row>
    <row r="149" s="3" customFormat="1" ht="25" customHeight="1" spans="1:15">
      <c r="A149" s="21">
        <v>143</v>
      </c>
      <c r="B149" s="24" t="s">
        <v>253</v>
      </c>
      <c r="C149" s="24" t="s">
        <v>254</v>
      </c>
      <c r="D149" s="37" t="s">
        <v>13</v>
      </c>
      <c r="E149" s="24">
        <v>8</v>
      </c>
      <c r="F149" s="24">
        <v>6900</v>
      </c>
      <c r="G149" s="25">
        <f>3800/1.13</f>
        <v>3362.83185840708</v>
      </c>
      <c r="H149" s="36">
        <f t="shared" si="8"/>
        <v>55200</v>
      </c>
      <c r="I149" s="25">
        <f t="shared" ref="I149:I157" si="9">G149*E149</f>
        <v>26902.6548672566</v>
      </c>
      <c r="J149" s="37" t="s">
        <v>58</v>
      </c>
      <c r="K149" s="34"/>
      <c r="L149" s="34"/>
      <c r="M149" s="32"/>
      <c r="O149" s="72"/>
    </row>
    <row r="150" s="3" customFormat="1" ht="25" customHeight="1" spans="1:15">
      <c r="A150" s="21">
        <v>144</v>
      </c>
      <c r="B150" s="24" t="s">
        <v>255</v>
      </c>
      <c r="C150" s="24" t="s">
        <v>256</v>
      </c>
      <c r="D150" s="37" t="s">
        <v>13</v>
      </c>
      <c r="E150" s="24">
        <v>2</v>
      </c>
      <c r="F150" s="24">
        <v>3900</v>
      </c>
      <c r="G150" s="25">
        <f>2660*1.05</f>
        <v>2793</v>
      </c>
      <c r="H150" s="36">
        <f t="shared" si="8"/>
        <v>7800</v>
      </c>
      <c r="I150" s="25">
        <f t="shared" si="9"/>
        <v>5586</v>
      </c>
      <c r="J150" s="37" t="s">
        <v>58</v>
      </c>
      <c r="K150" s="34"/>
      <c r="L150" s="34"/>
      <c r="M150" s="32"/>
      <c r="O150" s="72"/>
    </row>
    <row r="151" s="3" customFormat="1" ht="25" customHeight="1" spans="1:15">
      <c r="A151" s="21">
        <v>145</v>
      </c>
      <c r="B151" s="24" t="s">
        <v>257</v>
      </c>
      <c r="C151" s="24"/>
      <c r="D151" s="37" t="s">
        <v>13</v>
      </c>
      <c r="E151" s="24">
        <v>4</v>
      </c>
      <c r="F151" s="24">
        <v>5250</v>
      </c>
      <c r="G151" s="25">
        <f>1550*1.05</f>
        <v>1627.5</v>
      </c>
      <c r="H151" s="36">
        <f t="shared" si="8"/>
        <v>21000</v>
      </c>
      <c r="I151" s="25">
        <f t="shared" si="9"/>
        <v>6510</v>
      </c>
      <c r="J151" s="37" t="s">
        <v>58</v>
      </c>
      <c r="K151" s="34"/>
      <c r="L151" s="34"/>
      <c r="M151" s="32"/>
      <c r="O151" s="72"/>
    </row>
    <row r="152" s="3" customFormat="1" ht="25" customHeight="1" spans="1:15">
      <c r="A152" s="21">
        <v>146</v>
      </c>
      <c r="B152" s="24" t="s">
        <v>258</v>
      </c>
      <c r="C152" s="24"/>
      <c r="D152" s="37" t="s">
        <v>13</v>
      </c>
      <c r="E152" s="24">
        <v>2</v>
      </c>
      <c r="F152" s="24">
        <v>9000</v>
      </c>
      <c r="G152" s="25">
        <f>4608/1.13</f>
        <v>4077.87610619469</v>
      </c>
      <c r="H152" s="36">
        <f t="shared" si="8"/>
        <v>18000</v>
      </c>
      <c r="I152" s="25">
        <f t="shared" si="9"/>
        <v>8155.75221238938</v>
      </c>
      <c r="J152" s="37" t="s">
        <v>58</v>
      </c>
      <c r="K152" s="34"/>
      <c r="L152" s="34"/>
      <c r="M152" s="32"/>
      <c r="O152" s="72"/>
    </row>
    <row r="153" s="3" customFormat="1" ht="25" customHeight="1" spans="1:15">
      <c r="A153" s="21">
        <v>147</v>
      </c>
      <c r="B153" s="24" t="s">
        <v>259</v>
      </c>
      <c r="C153" s="24" t="s">
        <v>260</v>
      </c>
      <c r="D153" s="37" t="s">
        <v>13</v>
      </c>
      <c r="E153" s="24">
        <v>2</v>
      </c>
      <c r="F153" s="24">
        <v>6000</v>
      </c>
      <c r="G153" s="25">
        <f>4680/1.13</f>
        <v>4141.59292035398</v>
      </c>
      <c r="H153" s="36">
        <f t="shared" si="8"/>
        <v>12000</v>
      </c>
      <c r="I153" s="25">
        <f t="shared" si="9"/>
        <v>8283.18584070797</v>
      </c>
      <c r="J153" s="37" t="s">
        <v>58</v>
      </c>
      <c r="K153" s="34"/>
      <c r="L153" s="34"/>
      <c r="M153" s="32"/>
      <c r="O153" s="72"/>
    </row>
    <row r="154" s="3" customFormat="1" ht="25" customHeight="1" spans="1:15">
      <c r="A154" s="21">
        <v>148</v>
      </c>
      <c r="B154" s="24" t="s">
        <v>261</v>
      </c>
      <c r="C154" s="24" t="s">
        <v>262</v>
      </c>
      <c r="D154" s="37" t="s">
        <v>13</v>
      </c>
      <c r="E154" s="24">
        <v>2</v>
      </c>
      <c r="F154" s="24">
        <v>29640</v>
      </c>
      <c r="G154" s="25">
        <f>19200/1.13*1.05</f>
        <v>17840.7079646018</v>
      </c>
      <c r="H154" s="36">
        <f t="shared" si="8"/>
        <v>59280</v>
      </c>
      <c r="I154" s="25">
        <f t="shared" si="9"/>
        <v>35681.4159292035</v>
      </c>
      <c r="J154" s="37" t="s">
        <v>58</v>
      </c>
      <c r="K154" s="34"/>
      <c r="L154" s="34"/>
      <c r="M154" s="32"/>
      <c r="O154" s="72"/>
    </row>
    <row r="155" s="3" customFormat="1" ht="25" customHeight="1" spans="1:15">
      <c r="A155" s="21">
        <v>149</v>
      </c>
      <c r="B155" s="24" t="s">
        <v>263</v>
      </c>
      <c r="C155" s="24"/>
      <c r="D155" s="37" t="s">
        <v>13</v>
      </c>
      <c r="E155" s="24">
        <v>2</v>
      </c>
      <c r="F155" s="24">
        <v>6600</v>
      </c>
      <c r="G155" s="25">
        <f>5600/1.13</f>
        <v>4955.75221238938</v>
      </c>
      <c r="H155" s="36">
        <f t="shared" si="8"/>
        <v>13200</v>
      </c>
      <c r="I155" s="25">
        <f t="shared" si="9"/>
        <v>9911.50442477876</v>
      </c>
      <c r="J155" s="37" t="s">
        <v>58</v>
      </c>
      <c r="K155" s="34"/>
      <c r="L155" s="34"/>
      <c r="M155" s="32"/>
      <c r="O155" s="72"/>
    </row>
    <row r="156" s="3" customFormat="1" ht="25" customHeight="1" spans="1:15">
      <c r="A156" s="21">
        <v>150</v>
      </c>
      <c r="B156" s="24" t="s">
        <v>114</v>
      </c>
      <c r="C156" s="24" t="s">
        <v>264</v>
      </c>
      <c r="D156" s="37" t="s">
        <v>13</v>
      </c>
      <c r="E156" s="24">
        <v>2</v>
      </c>
      <c r="F156" s="24">
        <v>780</v>
      </c>
      <c r="G156" s="25">
        <f>800/1.13</f>
        <v>707.964601769912</v>
      </c>
      <c r="H156" s="36">
        <f t="shared" si="8"/>
        <v>1560</v>
      </c>
      <c r="I156" s="25">
        <f t="shared" si="9"/>
        <v>1415.92920353982</v>
      </c>
      <c r="J156" s="37" t="s">
        <v>58</v>
      </c>
      <c r="K156" s="34"/>
      <c r="L156" s="34"/>
      <c r="M156" s="32"/>
      <c r="O156" s="72"/>
    </row>
    <row r="157" s="3" customFormat="1" ht="25" customHeight="1" spans="1:15">
      <c r="A157" s="21">
        <v>151</v>
      </c>
      <c r="B157" s="24" t="s">
        <v>179</v>
      </c>
      <c r="C157" s="24" t="s">
        <v>265</v>
      </c>
      <c r="D157" s="37" t="s">
        <v>97</v>
      </c>
      <c r="E157" s="24">
        <v>1</v>
      </c>
      <c r="F157" s="24">
        <v>38500</v>
      </c>
      <c r="G157" s="25">
        <f>65000/1.13*0+38500</f>
        <v>38500</v>
      </c>
      <c r="H157" s="36">
        <f t="shared" si="8"/>
        <v>38500</v>
      </c>
      <c r="I157" s="25">
        <f t="shared" si="9"/>
        <v>38500</v>
      </c>
      <c r="J157" s="37" t="s">
        <v>58</v>
      </c>
      <c r="K157" s="34"/>
      <c r="L157" s="34"/>
      <c r="M157" s="32"/>
      <c r="O157" s="72"/>
    </row>
    <row r="158" s="3" customFormat="1" ht="25" customHeight="1" spans="1:15">
      <c r="A158" s="42">
        <v>1</v>
      </c>
      <c r="B158" s="43" t="s">
        <v>266</v>
      </c>
      <c r="C158" s="44" t="s">
        <v>267</v>
      </c>
      <c r="D158" s="45" t="s">
        <v>13</v>
      </c>
      <c r="E158" s="36">
        <v>384</v>
      </c>
      <c r="F158" s="36">
        <v>780</v>
      </c>
      <c r="G158" s="36">
        <v>364</v>
      </c>
      <c r="H158" s="36">
        <v>299520</v>
      </c>
      <c r="I158" s="36">
        <f t="shared" ref="I158:I178" si="10">E158*G158</f>
        <v>139776</v>
      </c>
      <c r="J158" s="73" t="s">
        <v>268</v>
      </c>
      <c r="K158" s="34"/>
      <c r="L158" s="34"/>
      <c r="M158" s="32"/>
      <c r="O158" s="72"/>
    </row>
    <row r="159" s="3" customFormat="1" ht="25" customHeight="1" spans="1:15">
      <c r="A159" s="42"/>
      <c r="B159" s="43" t="s">
        <v>269</v>
      </c>
      <c r="C159" s="44" t="s">
        <v>270</v>
      </c>
      <c r="D159" s="45"/>
      <c r="E159" s="36"/>
      <c r="F159" s="36"/>
      <c r="G159" s="36"/>
      <c r="H159" s="36"/>
      <c r="I159" s="36"/>
      <c r="J159" s="73"/>
      <c r="K159" s="34"/>
      <c r="L159" s="34"/>
      <c r="M159" s="32"/>
      <c r="O159" s="72"/>
    </row>
    <row r="160" s="3" customFormat="1" ht="25" customHeight="1" spans="1:15">
      <c r="A160" s="46">
        <v>2</v>
      </c>
      <c r="B160" s="43" t="s">
        <v>271</v>
      </c>
      <c r="C160" s="47" t="s">
        <v>272</v>
      </c>
      <c r="D160" s="45" t="s">
        <v>13</v>
      </c>
      <c r="E160" s="36">
        <v>45</v>
      </c>
      <c r="F160" s="36">
        <v>380</v>
      </c>
      <c r="G160" s="36">
        <f>145.8-145.8/(1+0.13)*0.13</f>
        <v>129.026548672566</v>
      </c>
      <c r="H160" s="36">
        <v>17100</v>
      </c>
      <c r="I160" s="36">
        <f t="shared" si="10"/>
        <v>5806.19469026549</v>
      </c>
      <c r="J160" s="73" t="s">
        <v>268</v>
      </c>
      <c r="K160" s="34"/>
      <c r="L160" s="34"/>
      <c r="M160" s="32"/>
      <c r="O160" s="72"/>
    </row>
    <row r="161" s="3" customFormat="1" ht="25" customHeight="1" spans="1:15">
      <c r="A161" s="46">
        <v>3</v>
      </c>
      <c r="B161" s="43" t="s">
        <v>273</v>
      </c>
      <c r="C161" s="48" t="s">
        <v>274</v>
      </c>
      <c r="D161" s="45" t="s">
        <v>13</v>
      </c>
      <c r="E161" s="36">
        <v>9</v>
      </c>
      <c r="F161" s="36">
        <v>680</v>
      </c>
      <c r="G161" s="36">
        <f>402.84-402.84/(1+0.13)*0.13</f>
        <v>356.495575221239</v>
      </c>
      <c r="H161" s="36">
        <v>6120</v>
      </c>
      <c r="I161" s="36">
        <f t="shared" si="10"/>
        <v>3208.46017699115</v>
      </c>
      <c r="J161" s="73" t="s">
        <v>268</v>
      </c>
      <c r="K161" s="34"/>
      <c r="L161" s="34"/>
      <c r="M161" s="32"/>
      <c r="O161" s="72"/>
    </row>
    <row r="162" s="3" customFormat="1" ht="25" customHeight="1" spans="1:15">
      <c r="A162" s="49">
        <v>4</v>
      </c>
      <c r="B162" s="50" t="s">
        <v>275</v>
      </c>
      <c r="C162" s="51" t="s">
        <v>276</v>
      </c>
      <c r="D162" s="52" t="s">
        <v>73</v>
      </c>
      <c r="E162" s="36">
        <v>81</v>
      </c>
      <c r="F162" s="36">
        <v>380</v>
      </c>
      <c r="G162" s="36">
        <v>185</v>
      </c>
      <c r="H162" s="36">
        <f>E162*F162</f>
        <v>30780</v>
      </c>
      <c r="I162" s="36">
        <f t="shared" si="10"/>
        <v>14985</v>
      </c>
      <c r="J162" s="74" t="s">
        <v>268</v>
      </c>
      <c r="K162" s="34"/>
      <c r="L162" s="34"/>
      <c r="M162" s="32"/>
      <c r="O162" s="72"/>
    </row>
    <row r="163" s="3" customFormat="1" ht="25" customHeight="1" spans="1:15">
      <c r="A163" s="53">
        <v>5</v>
      </c>
      <c r="B163" s="54" t="s">
        <v>277</v>
      </c>
      <c r="C163" s="55" t="s">
        <v>278</v>
      </c>
      <c r="D163" s="56" t="s">
        <v>279</v>
      </c>
      <c r="E163" s="36">
        <v>66</v>
      </c>
      <c r="F163" s="36">
        <v>1450</v>
      </c>
      <c r="G163" s="36">
        <v>778.761</v>
      </c>
      <c r="H163" s="36">
        <v>95700</v>
      </c>
      <c r="I163" s="36">
        <f t="shared" si="10"/>
        <v>51398.226</v>
      </c>
      <c r="J163" s="75" t="s">
        <v>268</v>
      </c>
      <c r="K163" s="34"/>
      <c r="L163" s="34"/>
      <c r="M163" s="32"/>
      <c r="O163" s="72"/>
    </row>
    <row r="164" s="3" customFormat="1" ht="25" customHeight="1" spans="1:15">
      <c r="A164" s="53">
        <v>6</v>
      </c>
      <c r="B164" s="54" t="s">
        <v>125</v>
      </c>
      <c r="C164" s="55" t="s">
        <v>280</v>
      </c>
      <c r="D164" s="56" t="s">
        <v>73</v>
      </c>
      <c r="E164" s="36">
        <v>9</v>
      </c>
      <c r="F164" s="36">
        <v>1800</v>
      </c>
      <c r="G164" s="36">
        <f>980-980/(1+0.13)*0.13</f>
        <v>867.256637168142</v>
      </c>
      <c r="H164" s="36">
        <v>16200</v>
      </c>
      <c r="I164" s="36">
        <f t="shared" si="10"/>
        <v>7805.30973451327</v>
      </c>
      <c r="J164" s="75" t="s">
        <v>268</v>
      </c>
      <c r="K164" s="34"/>
      <c r="L164" s="34"/>
      <c r="M164" s="32"/>
      <c r="O164" s="72"/>
    </row>
    <row r="165" s="3" customFormat="1" ht="25" customHeight="1" spans="1:15">
      <c r="A165" s="53">
        <v>7</v>
      </c>
      <c r="B165" s="54" t="s">
        <v>281</v>
      </c>
      <c r="C165" s="57" t="s">
        <v>282</v>
      </c>
      <c r="D165" s="56" t="s">
        <v>73</v>
      </c>
      <c r="E165" s="36">
        <v>15</v>
      </c>
      <c r="F165" s="36">
        <v>45</v>
      </c>
      <c r="G165" s="36">
        <v>19.5</v>
      </c>
      <c r="H165" s="36">
        <v>675</v>
      </c>
      <c r="I165" s="36">
        <f t="shared" si="10"/>
        <v>292.5</v>
      </c>
      <c r="J165" s="75" t="s">
        <v>58</v>
      </c>
      <c r="K165" s="34"/>
      <c r="L165" s="34"/>
      <c r="M165" s="32"/>
      <c r="O165" s="72"/>
    </row>
    <row r="166" s="3" customFormat="1" ht="25" customHeight="1" spans="1:15">
      <c r="A166" s="53">
        <v>8</v>
      </c>
      <c r="B166" s="54" t="s">
        <v>283</v>
      </c>
      <c r="C166" s="55" t="s">
        <v>284</v>
      </c>
      <c r="D166" s="56" t="s">
        <v>285</v>
      </c>
      <c r="E166" s="36">
        <v>384</v>
      </c>
      <c r="F166" s="36">
        <v>30</v>
      </c>
      <c r="G166" s="36">
        <v>25</v>
      </c>
      <c r="H166" s="36">
        <v>11520</v>
      </c>
      <c r="I166" s="36">
        <f t="shared" si="10"/>
        <v>9600</v>
      </c>
      <c r="J166" s="75" t="s">
        <v>268</v>
      </c>
      <c r="K166" s="34"/>
      <c r="L166" s="34"/>
      <c r="M166" s="32"/>
      <c r="O166" s="72"/>
    </row>
    <row r="167" s="3" customFormat="1" ht="25" customHeight="1" spans="1:15">
      <c r="A167" s="53">
        <v>9</v>
      </c>
      <c r="B167" s="54" t="s">
        <v>286</v>
      </c>
      <c r="C167" s="55" t="s">
        <v>287</v>
      </c>
      <c r="D167" s="56" t="s">
        <v>13</v>
      </c>
      <c r="E167" s="36">
        <v>9</v>
      </c>
      <c r="F167" s="36">
        <v>7880</v>
      </c>
      <c r="G167" s="36">
        <v>3770</v>
      </c>
      <c r="H167" s="36">
        <v>70920</v>
      </c>
      <c r="I167" s="36">
        <f t="shared" si="10"/>
        <v>33930</v>
      </c>
      <c r="J167" s="75" t="s">
        <v>268</v>
      </c>
      <c r="K167" s="34"/>
      <c r="L167" s="34"/>
      <c r="M167" s="32"/>
      <c r="O167" s="72"/>
    </row>
    <row r="168" s="3" customFormat="1" ht="25" customHeight="1" spans="1:15">
      <c r="A168" s="58">
        <v>10</v>
      </c>
      <c r="B168" s="54" t="s">
        <v>288</v>
      </c>
      <c r="C168" s="59" t="s">
        <v>289</v>
      </c>
      <c r="D168" s="56" t="s">
        <v>13</v>
      </c>
      <c r="E168" s="36">
        <v>36</v>
      </c>
      <c r="F168" s="36">
        <v>380</v>
      </c>
      <c r="G168" s="36">
        <v>210</v>
      </c>
      <c r="H168" s="36">
        <v>13680</v>
      </c>
      <c r="I168" s="36">
        <f t="shared" si="10"/>
        <v>7560</v>
      </c>
      <c r="J168" s="75" t="s">
        <v>268</v>
      </c>
      <c r="K168" s="34"/>
      <c r="L168" s="34"/>
      <c r="M168" s="32"/>
      <c r="O168" s="72"/>
    </row>
    <row r="169" s="3" customFormat="1" ht="25" customHeight="1" spans="1:15">
      <c r="A169" s="53">
        <v>11</v>
      </c>
      <c r="B169" s="54" t="s">
        <v>290</v>
      </c>
      <c r="C169" s="55" t="s">
        <v>291</v>
      </c>
      <c r="D169" s="56" t="s">
        <v>292</v>
      </c>
      <c r="E169" s="36">
        <v>87</v>
      </c>
      <c r="F169" s="36">
        <v>650</v>
      </c>
      <c r="G169" s="36">
        <f>620-620/(1+0.13)*0.13</f>
        <v>548.672566371681</v>
      </c>
      <c r="H169" s="36">
        <v>56550</v>
      </c>
      <c r="I169" s="36">
        <f t="shared" si="10"/>
        <v>47734.5132743363</v>
      </c>
      <c r="J169" s="75" t="s">
        <v>268</v>
      </c>
      <c r="K169" s="34"/>
      <c r="L169" s="34"/>
      <c r="M169" s="32"/>
      <c r="O169" s="72"/>
    </row>
    <row r="170" s="3" customFormat="1" ht="25" customHeight="1" spans="1:15">
      <c r="A170" s="53">
        <v>12</v>
      </c>
      <c r="B170" s="54" t="s">
        <v>293</v>
      </c>
      <c r="C170" s="55" t="s">
        <v>294</v>
      </c>
      <c r="D170" s="56" t="s">
        <v>295</v>
      </c>
      <c r="E170" s="36">
        <v>8700</v>
      </c>
      <c r="F170" s="36">
        <v>4</v>
      </c>
      <c r="G170" s="36">
        <f>2.24-2.24/(1+0.13)*0.13</f>
        <v>1.98230088495575</v>
      </c>
      <c r="H170" s="36">
        <v>34800</v>
      </c>
      <c r="I170" s="36">
        <f t="shared" si="10"/>
        <v>17246.017699115</v>
      </c>
      <c r="J170" s="75" t="s">
        <v>268</v>
      </c>
      <c r="K170" s="34"/>
      <c r="L170" s="34"/>
      <c r="M170" s="32"/>
      <c r="O170" s="72"/>
    </row>
    <row r="171" s="3" customFormat="1" ht="25" customHeight="1" spans="1:15">
      <c r="A171" s="53">
        <v>13</v>
      </c>
      <c r="B171" s="54" t="s">
        <v>296</v>
      </c>
      <c r="C171" s="57" t="s">
        <v>297</v>
      </c>
      <c r="D171" s="56" t="s">
        <v>285</v>
      </c>
      <c r="E171" s="36">
        <v>9</v>
      </c>
      <c r="F171" s="36">
        <v>380</v>
      </c>
      <c r="G171" s="36">
        <f>120-120/(1+0.13)*0.13</f>
        <v>106.194690265487</v>
      </c>
      <c r="H171" s="36">
        <v>3420</v>
      </c>
      <c r="I171" s="36">
        <f t="shared" si="10"/>
        <v>955.752212389381</v>
      </c>
      <c r="J171" s="75" t="s">
        <v>268</v>
      </c>
      <c r="K171" s="34"/>
      <c r="L171" s="34"/>
      <c r="M171" s="32"/>
      <c r="O171" s="72"/>
    </row>
    <row r="172" s="3" customFormat="1" ht="25" customHeight="1" spans="1:15">
      <c r="A172" s="53">
        <v>15</v>
      </c>
      <c r="B172" s="43" t="s">
        <v>298</v>
      </c>
      <c r="C172" s="60" t="s">
        <v>299</v>
      </c>
      <c r="D172" s="45" t="s">
        <v>73</v>
      </c>
      <c r="E172" s="36">
        <v>384</v>
      </c>
      <c r="F172" s="36">
        <v>28</v>
      </c>
      <c r="G172" s="36">
        <v>19.98</v>
      </c>
      <c r="H172" s="36">
        <f>E172*F172</f>
        <v>10752</v>
      </c>
      <c r="I172" s="36">
        <f t="shared" si="10"/>
        <v>7672.32</v>
      </c>
      <c r="J172" s="73" t="s">
        <v>300</v>
      </c>
      <c r="K172" s="34"/>
      <c r="L172" s="34"/>
      <c r="M172" s="32"/>
      <c r="O172" s="72"/>
    </row>
    <row r="173" s="3" customFormat="1" ht="25" customHeight="1" spans="1:15">
      <c r="A173" s="53">
        <v>16</v>
      </c>
      <c r="B173" s="43" t="s">
        <v>301</v>
      </c>
      <c r="C173" s="60" t="s">
        <v>302</v>
      </c>
      <c r="D173" s="45" t="s">
        <v>73</v>
      </c>
      <c r="E173" s="36">
        <v>81</v>
      </c>
      <c r="F173" s="36">
        <v>28</v>
      </c>
      <c r="G173" s="36">
        <v>19.98</v>
      </c>
      <c r="H173" s="36">
        <v>2268</v>
      </c>
      <c r="I173" s="36">
        <f t="shared" si="10"/>
        <v>1618.38</v>
      </c>
      <c r="J173" s="73" t="s">
        <v>300</v>
      </c>
      <c r="K173" s="34"/>
      <c r="L173" s="34"/>
      <c r="M173" s="32"/>
      <c r="O173" s="72"/>
    </row>
    <row r="174" s="3" customFormat="1" ht="25" customHeight="1" spans="1:15">
      <c r="A174" s="53">
        <v>17</v>
      </c>
      <c r="B174" s="54" t="s">
        <v>303</v>
      </c>
      <c r="C174" s="55" t="s">
        <v>304</v>
      </c>
      <c r="D174" s="56" t="s">
        <v>13</v>
      </c>
      <c r="E174" s="36">
        <v>9</v>
      </c>
      <c r="F174" s="36">
        <v>4000</v>
      </c>
      <c r="G174" s="36">
        <v>3539.82</v>
      </c>
      <c r="H174" s="36">
        <f>E174*F174</f>
        <v>36000</v>
      </c>
      <c r="I174" s="36">
        <f t="shared" si="10"/>
        <v>31858.38</v>
      </c>
      <c r="J174" s="75" t="s">
        <v>268</v>
      </c>
      <c r="K174" s="34"/>
      <c r="L174" s="34"/>
      <c r="M174" s="32"/>
      <c r="O174" s="72"/>
    </row>
    <row r="175" s="3" customFormat="1" ht="25" customHeight="1" spans="1:15">
      <c r="A175" s="53">
        <v>18</v>
      </c>
      <c r="B175" s="54" t="s">
        <v>305</v>
      </c>
      <c r="C175" s="57" t="s">
        <v>306</v>
      </c>
      <c r="D175" s="56" t="s">
        <v>97</v>
      </c>
      <c r="E175" s="36">
        <v>9</v>
      </c>
      <c r="F175" s="36">
        <v>150</v>
      </c>
      <c r="G175" s="36">
        <f>70-70/(1+0.03)*0.03</f>
        <v>67.9611650485437</v>
      </c>
      <c r="H175" s="36">
        <v>1350</v>
      </c>
      <c r="I175" s="36">
        <f t="shared" si="10"/>
        <v>611.650485436893</v>
      </c>
      <c r="J175" s="75" t="s">
        <v>300</v>
      </c>
      <c r="K175" s="34"/>
      <c r="L175" s="34"/>
      <c r="M175" s="32"/>
      <c r="O175" s="72"/>
    </row>
    <row r="176" s="3" customFormat="1" ht="25" customHeight="1" spans="1:15">
      <c r="A176" s="53">
        <v>19</v>
      </c>
      <c r="B176" s="54" t="s">
        <v>307</v>
      </c>
      <c r="C176" s="57" t="s">
        <v>308</v>
      </c>
      <c r="D176" s="56" t="s">
        <v>309</v>
      </c>
      <c r="E176" s="36">
        <v>9</v>
      </c>
      <c r="F176" s="36">
        <v>360</v>
      </c>
      <c r="G176" s="36">
        <f>85-85/(1+0.13)*0.13</f>
        <v>75.2212389380531</v>
      </c>
      <c r="H176" s="36">
        <v>3240</v>
      </c>
      <c r="I176" s="36">
        <f t="shared" si="10"/>
        <v>676.991150442478</v>
      </c>
      <c r="J176" s="75" t="s">
        <v>268</v>
      </c>
      <c r="K176" s="34"/>
      <c r="L176" s="34"/>
      <c r="M176" s="32"/>
      <c r="O176" s="72"/>
    </row>
    <row r="177" s="3" customFormat="1" ht="25" customHeight="1" spans="1:15">
      <c r="A177" s="53">
        <v>20</v>
      </c>
      <c r="B177" s="54" t="s">
        <v>310</v>
      </c>
      <c r="C177" s="57" t="s">
        <v>311</v>
      </c>
      <c r="D177" s="56" t="s">
        <v>73</v>
      </c>
      <c r="E177" s="36">
        <v>27</v>
      </c>
      <c r="F177" s="36">
        <v>45</v>
      </c>
      <c r="G177" s="36">
        <f>14.43-14.43/(1+0.13)*0.13</f>
        <v>12.7699115044248</v>
      </c>
      <c r="H177" s="36">
        <v>1215</v>
      </c>
      <c r="I177" s="36">
        <f t="shared" si="10"/>
        <v>344.787610619469</v>
      </c>
      <c r="J177" s="75" t="s">
        <v>268</v>
      </c>
      <c r="K177" s="34"/>
      <c r="L177" s="34"/>
      <c r="M177" s="32"/>
      <c r="O177" s="72"/>
    </row>
    <row r="178" s="3" customFormat="1" ht="25" customHeight="1" spans="1:15">
      <c r="A178" s="53">
        <v>21</v>
      </c>
      <c r="B178" s="54" t="s">
        <v>312</v>
      </c>
      <c r="C178" s="57" t="s">
        <v>313</v>
      </c>
      <c r="D178" s="56" t="s">
        <v>314</v>
      </c>
      <c r="E178" s="36">
        <v>9</v>
      </c>
      <c r="F178" s="36">
        <v>45</v>
      </c>
      <c r="G178" s="36">
        <v>5.18</v>
      </c>
      <c r="H178" s="36">
        <v>405</v>
      </c>
      <c r="I178" s="36">
        <f t="shared" si="10"/>
        <v>46.62</v>
      </c>
      <c r="J178" s="75" t="s">
        <v>268</v>
      </c>
      <c r="K178" s="34"/>
      <c r="L178" s="34"/>
      <c r="M178" s="32"/>
      <c r="O178" s="72"/>
    </row>
    <row r="179" s="3" customFormat="1" ht="25" customHeight="1" spans="1:15">
      <c r="A179" s="61">
        <v>1</v>
      </c>
      <c r="B179" s="62" t="s">
        <v>315</v>
      </c>
      <c r="C179" s="63" t="s">
        <v>316</v>
      </c>
      <c r="D179" s="63" t="s">
        <v>197</v>
      </c>
      <c r="E179" s="36">
        <f>962.54+3198</f>
        <v>4160.54</v>
      </c>
      <c r="F179" s="36">
        <v>435.16</v>
      </c>
      <c r="G179" s="36">
        <v>180</v>
      </c>
      <c r="H179" s="36">
        <f t="shared" ref="H179:H194" si="11">E179*F179</f>
        <v>1810500.5864</v>
      </c>
      <c r="I179" s="36">
        <f t="shared" ref="I179:I181" si="12">G179*E179</f>
        <v>748897.2</v>
      </c>
      <c r="J179" s="63" t="s">
        <v>317</v>
      </c>
      <c r="K179" s="63"/>
      <c r="L179" s="34"/>
      <c r="M179" s="32"/>
      <c r="O179" s="72"/>
    </row>
    <row r="180" s="3" customFormat="1" ht="25" customHeight="1" spans="1:15">
      <c r="A180" s="61">
        <v>6</v>
      </c>
      <c r="B180" s="62" t="s">
        <v>318</v>
      </c>
      <c r="C180" s="62"/>
      <c r="D180" s="63" t="s">
        <v>13</v>
      </c>
      <c r="E180" s="36">
        <v>1</v>
      </c>
      <c r="F180" s="36">
        <v>200</v>
      </c>
      <c r="G180" s="36">
        <v>1700</v>
      </c>
      <c r="H180" s="36">
        <f t="shared" si="11"/>
        <v>200</v>
      </c>
      <c r="I180" s="36">
        <f t="shared" si="12"/>
        <v>1700</v>
      </c>
      <c r="J180" s="63" t="s">
        <v>317</v>
      </c>
      <c r="K180" s="61"/>
      <c r="L180" s="34"/>
      <c r="M180" s="32"/>
      <c r="O180" s="72"/>
    </row>
    <row r="181" s="3" customFormat="1" ht="25" customHeight="1" spans="1:15">
      <c r="A181" s="61">
        <v>7</v>
      </c>
      <c r="B181" s="62" t="s">
        <v>319</v>
      </c>
      <c r="C181" s="62"/>
      <c r="D181" s="63" t="s">
        <v>13</v>
      </c>
      <c r="E181" s="36">
        <v>1</v>
      </c>
      <c r="F181" s="36">
        <v>200</v>
      </c>
      <c r="G181" s="36">
        <v>2200</v>
      </c>
      <c r="H181" s="36">
        <f t="shared" si="11"/>
        <v>200</v>
      </c>
      <c r="I181" s="36">
        <f t="shared" si="12"/>
        <v>2200</v>
      </c>
      <c r="J181" s="63" t="s">
        <v>317</v>
      </c>
      <c r="K181" s="61"/>
      <c r="L181" s="34"/>
      <c r="M181" s="32"/>
      <c r="O181" s="72"/>
    </row>
    <row r="182" s="3" customFormat="1" ht="25" customHeight="1" spans="1:15">
      <c r="A182" s="64">
        <v>1</v>
      </c>
      <c r="B182" s="65" t="s">
        <v>320</v>
      </c>
      <c r="C182" s="66" t="s">
        <v>321</v>
      </c>
      <c r="D182" s="67" t="s">
        <v>322</v>
      </c>
      <c r="E182" s="68">
        <v>42</v>
      </c>
      <c r="F182" s="68">
        <v>34700</v>
      </c>
      <c r="G182" s="69">
        <v>26500</v>
      </c>
      <c r="H182" s="69">
        <f t="shared" si="11"/>
        <v>1457400</v>
      </c>
      <c r="I182" s="69">
        <f t="shared" ref="I182:I216" si="13">E182*G182</f>
        <v>1113000</v>
      </c>
      <c r="J182" s="76" t="s">
        <v>323</v>
      </c>
      <c r="K182" s="34"/>
      <c r="L182" s="34"/>
      <c r="M182" s="32"/>
      <c r="O182" s="72"/>
    </row>
    <row r="183" s="3" customFormat="1" ht="25" customHeight="1" spans="1:15">
      <c r="A183" s="64">
        <v>2</v>
      </c>
      <c r="B183" s="65" t="s">
        <v>324</v>
      </c>
      <c r="C183" s="66" t="s">
        <v>325</v>
      </c>
      <c r="D183" s="67" t="s">
        <v>322</v>
      </c>
      <c r="E183" s="68">
        <v>22</v>
      </c>
      <c r="F183" s="68">
        <v>32000</v>
      </c>
      <c r="G183" s="69">
        <v>26500</v>
      </c>
      <c r="H183" s="69">
        <f t="shared" si="11"/>
        <v>704000</v>
      </c>
      <c r="I183" s="69">
        <f t="shared" si="13"/>
        <v>583000</v>
      </c>
      <c r="J183" s="76" t="s">
        <v>323</v>
      </c>
      <c r="K183" s="34"/>
      <c r="L183" s="34"/>
      <c r="M183" s="32"/>
      <c r="O183" s="72"/>
    </row>
    <row r="184" ht="24" spans="1:15">
      <c r="A184" s="70">
        <v>1</v>
      </c>
      <c r="B184" s="63" t="s">
        <v>326</v>
      </c>
      <c r="C184" s="63"/>
      <c r="D184" s="61" t="s">
        <v>73</v>
      </c>
      <c r="E184" s="61">
        <v>1</v>
      </c>
      <c r="F184" s="61"/>
      <c r="G184" s="61">
        <v>176.55</v>
      </c>
      <c r="H184" s="61">
        <f t="shared" si="11"/>
        <v>0</v>
      </c>
      <c r="I184" s="77">
        <f t="shared" si="13"/>
        <v>176.55</v>
      </c>
      <c r="J184" s="63" t="s">
        <v>327</v>
      </c>
      <c r="O184" s="78"/>
    </row>
    <row r="185" ht="24" spans="1:15">
      <c r="A185" s="70">
        <v>2</v>
      </c>
      <c r="B185" s="63" t="s">
        <v>328</v>
      </c>
      <c r="C185" s="63"/>
      <c r="D185" s="61" t="s">
        <v>73</v>
      </c>
      <c r="E185" s="61">
        <v>2</v>
      </c>
      <c r="F185" s="61"/>
      <c r="G185" s="61">
        <v>176.55</v>
      </c>
      <c r="H185" s="61">
        <f t="shared" si="11"/>
        <v>0</v>
      </c>
      <c r="I185" s="77">
        <f t="shared" si="13"/>
        <v>353.1</v>
      </c>
      <c r="J185" s="63" t="s">
        <v>327</v>
      </c>
      <c r="O185" s="78"/>
    </row>
    <row r="186" ht="24" spans="1:15">
      <c r="A186" s="70">
        <v>3</v>
      </c>
      <c r="B186" s="63" t="s">
        <v>329</v>
      </c>
      <c r="C186" s="63"/>
      <c r="D186" s="61" t="s">
        <v>73</v>
      </c>
      <c r="E186" s="61">
        <v>2</v>
      </c>
      <c r="F186" s="61"/>
      <c r="G186" s="61">
        <v>195.04</v>
      </c>
      <c r="H186" s="61">
        <f t="shared" si="11"/>
        <v>0</v>
      </c>
      <c r="I186" s="77">
        <f t="shared" si="13"/>
        <v>390.08</v>
      </c>
      <c r="J186" s="63" t="s">
        <v>327</v>
      </c>
      <c r="O186" s="78"/>
    </row>
    <row r="187" ht="24" spans="1:15">
      <c r="A187" s="70">
        <v>4</v>
      </c>
      <c r="B187" s="63" t="s">
        <v>330</v>
      </c>
      <c r="C187" s="63"/>
      <c r="D187" s="61" t="s">
        <v>73</v>
      </c>
      <c r="E187" s="61">
        <v>1</v>
      </c>
      <c r="F187" s="61"/>
      <c r="G187" s="61">
        <v>184.96</v>
      </c>
      <c r="H187" s="61">
        <f t="shared" si="11"/>
        <v>0</v>
      </c>
      <c r="I187" s="77">
        <f t="shared" si="13"/>
        <v>184.96</v>
      </c>
      <c r="J187" s="63" t="s">
        <v>327</v>
      </c>
      <c r="O187" s="78"/>
    </row>
    <row r="188" ht="24" spans="1:15">
      <c r="A188" s="70">
        <v>5</v>
      </c>
      <c r="B188" s="63" t="s">
        <v>331</v>
      </c>
      <c r="C188" s="63"/>
      <c r="D188" s="61" t="s">
        <v>73</v>
      </c>
      <c r="E188" s="61">
        <v>2</v>
      </c>
      <c r="F188" s="61"/>
      <c r="G188" s="61">
        <v>195.04</v>
      </c>
      <c r="H188" s="61">
        <f t="shared" si="11"/>
        <v>0</v>
      </c>
      <c r="I188" s="77">
        <f t="shared" si="13"/>
        <v>390.08</v>
      </c>
      <c r="J188" s="63" t="s">
        <v>327</v>
      </c>
      <c r="O188" s="78"/>
    </row>
    <row r="189" ht="24" spans="1:15">
      <c r="A189" s="70">
        <v>6</v>
      </c>
      <c r="B189" s="63" t="s">
        <v>332</v>
      </c>
      <c r="C189" s="71"/>
      <c r="D189" s="61" t="s">
        <v>333</v>
      </c>
      <c r="E189" s="61">
        <v>7.257</v>
      </c>
      <c r="F189" s="61"/>
      <c r="G189" s="61">
        <v>4.18</v>
      </c>
      <c r="H189" s="61">
        <f t="shared" si="11"/>
        <v>0</v>
      </c>
      <c r="I189" s="77">
        <f t="shared" si="13"/>
        <v>30.33426</v>
      </c>
      <c r="J189" s="63" t="s">
        <v>327</v>
      </c>
      <c r="O189" s="78"/>
    </row>
    <row r="190" ht="24" spans="1:15">
      <c r="A190" s="70">
        <v>7</v>
      </c>
      <c r="B190" s="63" t="s">
        <v>334</v>
      </c>
      <c r="C190" s="71"/>
      <c r="D190" s="61" t="s">
        <v>335</v>
      </c>
      <c r="E190" s="61">
        <v>24.001</v>
      </c>
      <c r="F190" s="61"/>
      <c r="G190" s="61">
        <v>1.104</v>
      </c>
      <c r="H190" s="61">
        <f t="shared" si="11"/>
        <v>0</v>
      </c>
      <c r="I190" s="77">
        <f t="shared" si="13"/>
        <v>26.497104</v>
      </c>
      <c r="J190" s="63" t="s">
        <v>327</v>
      </c>
      <c r="O190" s="78"/>
    </row>
    <row r="191" ht="24" spans="1:15">
      <c r="A191" s="70">
        <v>8</v>
      </c>
      <c r="B191" s="63" t="s">
        <v>336</v>
      </c>
      <c r="C191" s="71"/>
      <c r="D191" s="61" t="s">
        <v>337</v>
      </c>
      <c r="E191" s="61">
        <v>6</v>
      </c>
      <c r="F191" s="61"/>
      <c r="G191" s="61">
        <v>858.41</v>
      </c>
      <c r="H191" s="61">
        <f t="shared" si="11"/>
        <v>0</v>
      </c>
      <c r="I191" s="77">
        <f t="shared" si="13"/>
        <v>5150.46</v>
      </c>
      <c r="J191" s="63" t="s">
        <v>327</v>
      </c>
      <c r="O191" s="79"/>
    </row>
    <row r="192" ht="24" spans="1:15">
      <c r="A192" s="70">
        <v>9</v>
      </c>
      <c r="B192" s="63" t="s">
        <v>338</v>
      </c>
      <c r="C192" s="63"/>
      <c r="D192" s="61" t="s">
        <v>337</v>
      </c>
      <c r="E192" s="61">
        <v>19</v>
      </c>
      <c r="F192" s="61"/>
      <c r="G192" s="61">
        <v>34.55</v>
      </c>
      <c r="H192" s="61">
        <f t="shared" si="11"/>
        <v>0</v>
      </c>
      <c r="I192" s="77">
        <f t="shared" si="13"/>
        <v>656.45</v>
      </c>
      <c r="J192" s="63" t="s">
        <v>327</v>
      </c>
      <c r="O192" s="79"/>
    </row>
    <row r="193" ht="24" spans="1:10">
      <c r="A193" s="70">
        <v>10</v>
      </c>
      <c r="B193" s="63" t="s">
        <v>339</v>
      </c>
      <c r="C193" s="63"/>
      <c r="D193" s="61" t="s">
        <v>169</v>
      </c>
      <c r="E193" s="61">
        <v>36.572</v>
      </c>
      <c r="F193" s="61"/>
      <c r="G193" s="61">
        <v>42.75</v>
      </c>
      <c r="H193" s="61">
        <f t="shared" si="11"/>
        <v>0</v>
      </c>
      <c r="I193" s="77">
        <f t="shared" si="13"/>
        <v>1563.453</v>
      </c>
      <c r="J193" s="63" t="s">
        <v>327</v>
      </c>
    </row>
    <row r="194" ht="24" spans="1:10">
      <c r="A194" s="70">
        <v>11</v>
      </c>
      <c r="B194" s="63" t="s">
        <v>340</v>
      </c>
      <c r="C194" s="63"/>
      <c r="D194" s="61" t="s">
        <v>169</v>
      </c>
      <c r="E194" s="61">
        <v>15.786</v>
      </c>
      <c r="F194" s="61"/>
      <c r="G194" s="61">
        <v>66.42</v>
      </c>
      <c r="H194" s="61">
        <f t="shared" si="11"/>
        <v>0</v>
      </c>
      <c r="I194" s="77">
        <f t="shared" si="13"/>
        <v>1048.50612</v>
      </c>
      <c r="J194" s="63" t="s">
        <v>327</v>
      </c>
    </row>
    <row r="195" ht="24" spans="1:10">
      <c r="A195" s="70">
        <v>12</v>
      </c>
      <c r="B195" s="63" t="s">
        <v>341</v>
      </c>
      <c r="C195" s="71"/>
      <c r="D195" s="61" t="s">
        <v>169</v>
      </c>
      <c r="E195" s="61">
        <v>51.611</v>
      </c>
      <c r="F195" s="61"/>
      <c r="G195" s="61">
        <v>17.66</v>
      </c>
      <c r="H195" s="61"/>
      <c r="I195" s="77">
        <f t="shared" si="13"/>
        <v>911.45026</v>
      </c>
      <c r="J195" s="63" t="s">
        <v>327</v>
      </c>
    </row>
    <row r="196" ht="24" spans="1:10">
      <c r="A196" s="70">
        <v>13</v>
      </c>
      <c r="B196" s="63" t="s">
        <v>342</v>
      </c>
      <c r="C196" s="80"/>
      <c r="D196" s="61" t="s">
        <v>169</v>
      </c>
      <c r="E196" s="61">
        <v>11.938</v>
      </c>
      <c r="F196" s="61"/>
      <c r="G196" s="61">
        <v>25.76</v>
      </c>
      <c r="H196" s="61"/>
      <c r="I196" s="77">
        <f t="shared" si="13"/>
        <v>307.52288</v>
      </c>
      <c r="J196" s="63" t="s">
        <v>327</v>
      </c>
    </row>
    <row r="197" ht="24" spans="1:10">
      <c r="A197" s="70">
        <v>14</v>
      </c>
      <c r="B197" s="63" t="s">
        <v>343</v>
      </c>
      <c r="C197" s="80"/>
      <c r="D197" s="61" t="s">
        <v>73</v>
      </c>
      <c r="E197" s="61">
        <v>1</v>
      </c>
      <c r="F197" s="61"/>
      <c r="G197" s="61">
        <v>840.71</v>
      </c>
      <c r="H197" s="61"/>
      <c r="I197" s="77">
        <f t="shared" si="13"/>
        <v>840.71</v>
      </c>
      <c r="J197" s="63" t="s">
        <v>327</v>
      </c>
    </row>
    <row r="198" ht="24" spans="1:10">
      <c r="A198" s="70">
        <v>15</v>
      </c>
      <c r="B198" s="63" t="s">
        <v>344</v>
      </c>
      <c r="C198" s="80"/>
      <c r="D198" s="61" t="s">
        <v>13</v>
      </c>
      <c r="E198" s="61">
        <v>1</v>
      </c>
      <c r="F198" s="61"/>
      <c r="G198" s="61">
        <v>2698.451</v>
      </c>
      <c r="H198" s="61"/>
      <c r="I198" s="77">
        <f t="shared" si="13"/>
        <v>2698.451</v>
      </c>
      <c r="J198" s="63" t="s">
        <v>327</v>
      </c>
    </row>
    <row r="199" ht="24" spans="1:10">
      <c r="A199" s="70">
        <v>16</v>
      </c>
      <c r="B199" s="63" t="s">
        <v>345</v>
      </c>
      <c r="C199" s="80"/>
      <c r="D199" s="61" t="s">
        <v>13</v>
      </c>
      <c r="E199" s="61">
        <v>1</v>
      </c>
      <c r="F199" s="61"/>
      <c r="G199" s="61">
        <v>2448.251</v>
      </c>
      <c r="H199" s="61"/>
      <c r="I199" s="77">
        <f t="shared" si="13"/>
        <v>2448.251</v>
      </c>
      <c r="J199" s="63" t="s">
        <v>327</v>
      </c>
    </row>
    <row r="200" ht="24" spans="1:10">
      <c r="A200" s="70">
        <v>17</v>
      </c>
      <c r="B200" s="63" t="s">
        <v>346</v>
      </c>
      <c r="C200" s="80"/>
      <c r="D200" s="61" t="s">
        <v>13</v>
      </c>
      <c r="E200" s="61">
        <v>1</v>
      </c>
      <c r="F200" s="61"/>
      <c r="G200" s="61">
        <v>3401.399</v>
      </c>
      <c r="H200" s="61"/>
      <c r="I200" s="77">
        <f t="shared" si="13"/>
        <v>3401.399</v>
      </c>
      <c r="J200" s="63" t="s">
        <v>327</v>
      </c>
    </row>
    <row r="201" ht="24" spans="1:10">
      <c r="A201" s="70">
        <v>18</v>
      </c>
      <c r="B201" s="63" t="s">
        <v>347</v>
      </c>
      <c r="C201" s="80"/>
      <c r="D201" s="61" t="s">
        <v>13</v>
      </c>
      <c r="E201" s="61">
        <v>1</v>
      </c>
      <c r="F201" s="61"/>
      <c r="G201" s="61">
        <v>3580.799</v>
      </c>
      <c r="H201" s="61"/>
      <c r="I201" s="77">
        <f t="shared" si="13"/>
        <v>3580.799</v>
      </c>
      <c r="J201" s="63" t="s">
        <v>327</v>
      </c>
    </row>
    <row r="202" ht="24" spans="1:10">
      <c r="A202" s="70">
        <v>19</v>
      </c>
      <c r="B202" s="63" t="s">
        <v>348</v>
      </c>
      <c r="C202" s="80"/>
      <c r="D202" s="61" t="s">
        <v>216</v>
      </c>
      <c r="E202" s="61">
        <v>70.532</v>
      </c>
      <c r="F202" s="61"/>
      <c r="G202" s="61">
        <v>102.355</v>
      </c>
      <c r="H202" s="61"/>
      <c r="I202" s="77">
        <f t="shared" si="13"/>
        <v>7219.30286</v>
      </c>
      <c r="J202" s="63" t="s">
        <v>327</v>
      </c>
    </row>
    <row r="203" ht="24" spans="1:10">
      <c r="A203" s="70">
        <v>20</v>
      </c>
      <c r="B203" s="81" t="s">
        <v>349</v>
      </c>
      <c r="C203" s="82"/>
      <c r="D203" s="61" t="s">
        <v>216</v>
      </c>
      <c r="E203" s="83">
        <v>15.195</v>
      </c>
      <c r="F203" s="84"/>
      <c r="G203" s="61">
        <v>83.037</v>
      </c>
      <c r="H203" s="77"/>
      <c r="I203" s="77">
        <f t="shared" si="13"/>
        <v>1261.747215</v>
      </c>
      <c r="J203" s="63" t="s">
        <v>327</v>
      </c>
    </row>
    <row r="204" ht="24" spans="1:10">
      <c r="A204" s="70">
        <v>21</v>
      </c>
      <c r="B204" s="63" t="s">
        <v>350</v>
      </c>
      <c r="C204" s="63" t="s">
        <v>351</v>
      </c>
      <c r="D204" s="61" t="s">
        <v>216</v>
      </c>
      <c r="E204" s="83">
        <v>161.56</v>
      </c>
      <c r="F204" s="84"/>
      <c r="G204" s="61">
        <v>487.83</v>
      </c>
      <c r="H204" s="77"/>
      <c r="I204" s="77">
        <f t="shared" si="13"/>
        <v>78813.8148</v>
      </c>
      <c r="J204" s="63" t="s">
        <v>327</v>
      </c>
    </row>
    <row r="205" ht="24" spans="1:10">
      <c r="A205" s="70">
        <v>22</v>
      </c>
      <c r="B205" s="63" t="s">
        <v>352</v>
      </c>
      <c r="C205" s="63" t="s">
        <v>353</v>
      </c>
      <c r="D205" s="61" t="s">
        <v>97</v>
      </c>
      <c r="E205" s="83">
        <v>1</v>
      </c>
      <c r="F205" s="84"/>
      <c r="G205" s="61">
        <v>26500</v>
      </c>
      <c r="H205" s="77"/>
      <c r="I205" s="77">
        <f t="shared" si="13"/>
        <v>26500</v>
      </c>
      <c r="J205" s="63" t="s">
        <v>327</v>
      </c>
    </row>
    <row r="206" ht="24" spans="1:10">
      <c r="A206" s="70">
        <v>23</v>
      </c>
      <c r="B206" s="63" t="s">
        <v>354</v>
      </c>
      <c r="C206" s="63" t="s">
        <v>355</v>
      </c>
      <c r="D206" s="61" t="s">
        <v>97</v>
      </c>
      <c r="E206" s="83">
        <v>1</v>
      </c>
      <c r="F206" s="84"/>
      <c r="G206" s="61">
        <v>9690.9</v>
      </c>
      <c r="H206" s="77"/>
      <c r="I206" s="77">
        <f t="shared" si="13"/>
        <v>9690.9</v>
      </c>
      <c r="J206" s="63" t="s">
        <v>327</v>
      </c>
    </row>
    <row r="207" ht="24" spans="1:10">
      <c r="A207" s="70">
        <v>24</v>
      </c>
      <c r="B207" s="63" t="s">
        <v>356</v>
      </c>
      <c r="C207" s="63" t="s">
        <v>357</v>
      </c>
      <c r="D207" s="61" t="s">
        <v>197</v>
      </c>
      <c r="E207" s="83">
        <f>9+21.172+8.309+3.754+8.309</f>
        <v>50.544</v>
      </c>
      <c r="F207" s="84"/>
      <c r="G207" s="61">
        <v>6500</v>
      </c>
      <c r="H207" s="77"/>
      <c r="I207" s="77">
        <f t="shared" si="13"/>
        <v>328536</v>
      </c>
      <c r="J207" s="63" t="s">
        <v>327</v>
      </c>
    </row>
    <row r="208" ht="24" spans="1:10">
      <c r="A208" s="70">
        <v>25</v>
      </c>
      <c r="B208" s="63" t="s">
        <v>358</v>
      </c>
      <c r="C208" s="63"/>
      <c r="D208" s="61" t="s">
        <v>216</v>
      </c>
      <c r="E208" s="83">
        <f>25.2+16.8</f>
        <v>42</v>
      </c>
      <c r="F208" s="84"/>
      <c r="G208" s="61">
        <v>8000</v>
      </c>
      <c r="H208" s="77"/>
      <c r="I208" s="77">
        <f t="shared" si="13"/>
        <v>336000</v>
      </c>
      <c r="J208" s="63" t="s">
        <v>327</v>
      </c>
    </row>
    <row r="209" ht="24" spans="1:10">
      <c r="A209" s="70">
        <v>26</v>
      </c>
      <c r="B209" s="63" t="s">
        <v>359</v>
      </c>
      <c r="C209" s="63"/>
      <c r="D209" s="61" t="s">
        <v>216</v>
      </c>
      <c r="E209" s="83">
        <v>18.9</v>
      </c>
      <c r="F209" s="84"/>
      <c r="G209" s="61">
        <v>3600</v>
      </c>
      <c r="H209" s="77"/>
      <c r="I209" s="77">
        <f t="shared" si="13"/>
        <v>68040</v>
      </c>
      <c r="J209" s="63" t="s">
        <v>327</v>
      </c>
    </row>
    <row r="210" ht="24" spans="1:10">
      <c r="A210" s="70">
        <v>27</v>
      </c>
      <c r="B210" s="63" t="s">
        <v>360</v>
      </c>
      <c r="C210" s="63" t="s">
        <v>361</v>
      </c>
      <c r="D210" s="61" t="s">
        <v>73</v>
      </c>
      <c r="E210" s="83">
        <v>8</v>
      </c>
      <c r="F210" s="84"/>
      <c r="G210" s="61">
        <v>13258.8</v>
      </c>
      <c r="H210" s="77"/>
      <c r="I210" s="77">
        <f t="shared" si="13"/>
        <v>106070.4</v>
      </c>
      <c r="J210" s="63" t="s">
        <v>327</v>
      </c>
    </row>
    <row r="211" ht="24" spans="1:10">
      <c r="A211" s="70">
        <v>28</v>
      </c>
      <c r="B211" s="63" t="s">
        <v>362</v>
      </c>
      <c r="C211" s="63" t="s">
        <v>363</v>
      </c>
      <c r="D211" s="61" t="s">
        <v>216</v>
      </c>
      <c r="E211" s="83">
        <f>65.826+45.792</f>
        <v>111.618</v>
      </c>
      <c r="F211" s="84"/>
      <c r="G211" s="61">
        <v>110</v>
      </c>
      <c r="H211" s="77"/>
      <c r="I211" s="77">
        <f t="shared" si="13"/>
        <v>12277.98</v>
      </c>
      <c r="J211" s="63" t="s">
        <v>327</v>
      </c>
    </row>
    <row r="212" ht="24" spans="1:10">
      <c r="A212" s="70">
        <v>29</v>
      </c>
      <c r="B212" s="63" t="s">
        <v>364</v>
      </c>
      <c r="C212" s="63" t="s">
        <v>363</v>
      </c>
      <c r="D212" s="61" t="s">
        <v>169</v>
      </c>
      <c r="E212" s="83">
        <v>12.495</v>
      </c>
      <c r="F212" s="84"/>
      <c r="G212" s="61">
        <v>10.619</v>
      </c>
      <c r="H212" s="77"/>
      <c r="I212" s="77">
        <f t="shared" si="13"/>
        <v>132.684405</v>
      </c>
      <c r="J212" s="63" t="s">
        <v>327</v>
      </c>
    </row>
    <row r="213" ht="24" spans="1:10">
      <c r="A213" s="70">
        <v>30</v>
      </c>
      <c r="B213" s="63" t="s">
        <v>365</v>
      </c>
      <c r="C213" s="63" t="s">
        <v>363</v>
      </c>
      <c r="D213" s="61" t="s">
        <v>216</v>
      </c>
      <c r="E213" s="83">
        <v>47.52</v>
      </c>
      <c r="F213" s="84"/>
      <c r="G213" s="61">
        <v>106.19</v>
      </c>
      <c r="H213" s="77"/>
      <c r="I213" s="77">
        <f t="shared" si="13"/>
        <v>5046.1488</v>
      </c>
      <c r="J213" s="63" t="s">
        <v>327</v>
      </c>
    </row>
    <row r="214" ht="24" spans="1:10">
      <c r="A214" s="70">
        <v>31</v>
      </c>
      <c r="B214" s="63" t="s">
        <v>366</v>
      </c>
      <c r="C214" s="63" t="s">
        <v>367</v>
      </c>
      <c r="D214" s="61" t="s">
        <v>216</v>
      </c>
      <c r="E214" s="83">
        <v>40.625</v>
      </c>
      <c r="F214" s="84"/>
      <c r="G214" s="61">
        <v>75</v>
      </c>
      <c r="H214" s="77"/>
      <c r="I214" s="77">
        <f t="shared" si="13"/>
        <v>3046.875</v>
      </c>
      <c r="J214" s="63" t="s">
        <v>327</v>
      </c>
    </row>
    <row r="215" ht="24" spans="1:10">
      <c r="A215" s="70">
        <v>32</v>
      </c>
      <c r="B215" s="63" t="s">
        <v>368</v>
      </c>
      <c r="C215" s="63"/>
      <c r="D215" s="61" t="s">
        <v>13</v>
      </c>
      <c r="E215" s="83">
        <v>1</v>
      </c>
      <c r="F215" s="84"/>
      <c r="G215" s="61">
        <v>108000</v>
      </c>
      <c r="H215" s="77"/>
      <c r="I215" s="77">
        <f t="shared" si="13"/>
        <v>108000</v>
      </c>
      <c r="J215" s="63" t="s">
        <v>327</v>
      </c>
    </row>
    <row r="216" ht="24" spans="1:10">
      <c r="A216" s="70">
        <v>33</v>
      </c>
      <c r="B216" s="63" t="s">
        <v>369</v>
      </c>
      <c r="C216" s="63"/>
      <c r="D216" s="61" t="s">
        <v>13</v>
      </c>
      <c r="E216" s="83">
        <v>1</v>
      </c>
      <c r="F216" s="84"/>
      <c r="G216" s="61">
        <v>93000</v>
      </c>
      <c r="H216" s="77"/>
      <c r="I216" s="77">
        <f t="shared" si="13"/>
        <v>93000</v>
      </c>
      <c r="J216" s="63" t="s">
        <v>327</v>
      </c>
    </row>
    <row r="217" ht="67.5" spans="1:10">
      <c r="A217" s="21">
        <v>1</v>
      </c>
      <c r="B217" s="22" t="s">
        <v>370</v>
      </c>
      <c r="C217" s="85" t="s">
        <v>371</v>
      </c>
      <c r="D217" s="21" t="s">
        <v>13</v>
      </c>
      <c r="E217" s="21">
        <v>1</v>
      </c>
      <c r="F217" s="21">
        <v>50000</v>
      </c>
      <c r="G217" s="23">
        <f>18435.65/1.13*1.05</f>
        <v>17130.4712389381</v>
      </c>
      <c r="H217" s="21">
        <f t="shared" ref="H217:H280" si="14">F217*E217</f>
        <v>50000</v>
      </c>
      <c r="I217" s="33">
        <f t="shared" ref="I217:I280" si="15">G217*E217</f>
        <v>17130.4712389381</v>
      </c>
      <c r="J217" s="21" t="s">
        <v>17</v>
      </c>
    </row>
    <row r="218" ht="67.5" spans="1:10">
      <c r="A218" s="21">
        <v>2</v>
      </c>
      <c r="B218" s="22" t="s">
        <v>372</v>
      </c>
      <c r="C218" s="85" t="s">
        <v>373</v>
      </c>
      <c r="D218" s="21" t="s">
        <v>13</v>
      </c>
      <c r="E218" s="21">
        <v>1</v>
      </c>
      <c r="F218" s="21">
        <v>59000</v>
      </c>
      <c r="G218" s="23">
        <f>20837.75/1.13*1.05</f>
        <v>19362.5110619469</v>
      </c>
      <c r="H218" s="21">
        <f t="shared" si="14"/>
        <v>59000</v>
      </c>
      <c r="I218" s="33">
        <f t="shared" si="15"/>
        <v>19362.5110619469</v>
      </c>
      <c r="J218" s="21" t="s">
        <v>17</v>
      </c>
    </row>
    <row r="219" ht="67.5" spans="1:10">
      <c r="A219" s="21">
        <v>3</v>
      </c>
      <c r="B219" s="22" t="s">
        <v>374</v>
      </c>
      <c r="C219" s="85" t="s">
        <v>375</v>
      </c>
      <c r="D219" s="21" t="s">
        <v>13</v>
      </c>
      <c r="E219" s="21">
        <v>1</v>
      </c>
      <c r="F219" s="21">
        <v>58000</v>
      </c>
      <c r="G219" s="23">
        <f>20827.55/1.13*1.05</f>
        <v>19353.0331858407</v>
      </c>
      <c r="H219" s="21">
        <f t="shared" si="14"/>
        <v>58000</v>
      </c>
      <c r="I219" s="33">
        <f t="shared" si="15"/>
        <v>19353.0331858407</v>
      </c>
      <c r="J219" s="21" t="s">
        <v>17</v>
      </c>
    </row>
    <row r="220" ht="67.5" spans="1:10">
      <c r="A220" s="21">
        <v>4</v>
      </c>
      <c r="B220" s="22" t="s">
        <v>376</v>
      </c>
      <c r="C220" s="85" t="s">
        <v>377</v>
      </c>
      <c r="D220" s="21" t="s">
        <v>13</v>
      </c>
      <c r="E220" s="21">
        <v>1</v>
      </c>
      <c r="F220" s="21">
        <v>48000</v>
      </c>
      <c r="G220" s="23">
        <f>18435.65/1.13*1.05</f>
        <v>17130.4712389381</v>
      </c>
      <c r="H220" s="21">
        <f t="shared" si="14"/>
        <v>48000</v>
      </c>
      <c r="I220" s="33">
        <f t="shared" si="15"/>
        <v>17130.4712389381</v>
      </c>
      <c r="J220" s="21" t="s">
        <v>17</v>
      </c>
    </row>
    <row r="221" ht="67.5" spans="1:10">
      <c r="A221" s="21">
        <v>5</v>
      </c>
      <c r="B221" s="22" t="s">
        <v>378</v>
      </c>
      <c r="C221" s="85" t="s">
        <v>379</v>
      </c>
      <c r="D221" s="21" t="s">
        <v>13</v>
      </c>
      <c r="E221" s="21">
        <v>1</v>
      </c>
      <c r="F221" s="21">
        <v>116000</v>
      </c>
      <c r="G221" s="23">
        <f>41397.55/1.13*1.05</f>
        <v>38466.75</v>
      </c>
      <c r="H221" s="21">
        <f t="shared" si="14"/>
        <v>116000</v>
      </c>
      <c r="I221" s="33">
        <f t="shared" si="15"/>
        <v>38466.75</v>
      </c>
      <c r="J221" s="21" t="s">
        <v>17</v>
      </c>
    </row>
    <row r="222" ht="67.5" spans="1:10">
      <c r="A222" s="21">
        <v>6</v>
      </c>
      <c r="B222" s="22" t="s">
        <v>380</v>
      </c>
      <c r="C222" s="85" t="s">
        <v>381</v>
      </c>
      <c r="D222" s="21" t="s">
        <v>13</v>
      </c>
      <c r="E222" s="21">
        <v>1</v>
      </c>
      <c r="F222" s="21">
        <v>33000</v>
      </c>
      <c r="G222" s="23">
        <f>15572/1.13*1.05</f>
        <v>14469.5575221239</v>
      </c>
      <c r="H222" s="21">
        <f t="shared" si="14"/>
        <v>33000</v>
      </c>
      <c r="I222" s="33">
        <f t="shared" si="15"/>
        <v>14469.5575221239</v>
      </c>
      <c r="J222" s="21" t="s">
        <v>17</v>
      </c>
    </row>
    <row r="223" ht="67.5" spans="1:10">
      <c r="A223" s="21">
        <v>7</v>
      </c>
      <c r="B223" s="22" t="s">
        <v>382</v>
      </c>
      <c r="C223" s="85" t="s">
        <v>383</v>
      </c>
      <c r="D223" s="21" t="s">
        <v>13</v>
      </c>
      <c r="E223" s="21">
        <v>1</v>
      </c>
      <c r="F223" s="21">
        <v>115000</v>
      </c>
      <c r="G223" s="23">
        <f>42097.1/1.13*1.05</f>
        <v>39116.7743362832</v>
      </c>
      <c r="H223" s="21">
        <f t="shared" si="14"/>
        <v>115000</v>
      </c>
      <c r="I223" s="33">
        <f t="shared" si="15"/>
        <v>39116.7743362832</v>
      </c>
      <c r="J223" s="21" t="s">
        <v>17</v>
      </c>
    </row>
    <row r="224" ht="67.5" spans="1:10">
      <c r="A224" s="21">
        <v>8</v>
      </c>
      <c r="B224" s="22" t="s">
        <v>384</v>
      </c>
      <c r="C224" s="85" t="s">
        <v>385</v>
      </c>
      <c r="D224" s="21" t="s">
        <v>13</v>
      </c>
      <c r="E224" s="21">
        <v>1</v>
      </c>
      <c r="F224" s="21">
        <v>141000</v>
      </c>
      <c r="G224" s="23">
        <f>49965/1.13*1.05</f>
        <v>46427.6548672566</v>
      </c>
      <c r="H224" s="21">
        <f t="shared" si="14"/>
        <v>141000</v>
      </c>
      <c r="I224" s="33">
        <f t="shared" si="15"/>
        <v>46427.6548672566</v>
      </c>
      <c r="J224" s="21" t="s">
        <v>17</v>
      </c>
    </row>
    <row r="225" ht="67.5" spans="1:10">
      <c r="A225" s="21">
        <v>9</v>
      </c>
      <c r="B225" s="24" t="s">
        <v>386</v>
      </c>
      <c r="C225" s="86" t="s">
        <v>387</v>
      </c>
      <c r="D225" s="21" t="s">
        <v>13</v>
      </c>
      <c r="E225" s="21">
        <v>1</v>
      </c>
      <c r="F225" s="24">
        <v>133000</v>
      </c>
      <c r="G225" s="23">
        <f>42537.4/1.13*1.05</f>
        <v>39525.9026548673</v>
      </c>
      <c r="H225" s="21">
        <f t="shared" si="14"/>
        <v>133000</v>
      </c>
      <c r="I225" s="33">
        <f t="shared" si="15"/>
        <v>39525.9026548673</v>
      </c>
      <c r="J225" s="21" t="s">
        <v>17</v>
      </c>
    </row>
    <row r="226" ht="67.5" spans="1:10">
      <c r="A226" s="21">
        <v>10</v>
      </c>
      <c r="B226" s="24" t="s">
        <v>388</v>
      </c>
      <c r="C226" s="86" t="s">
        <v>389</v>
      </c>
      <c r="D226" s="21" t="s">
        <v>13</v>
      </c>
      <c r="E226" s="21">
        <v>1</v>
      </c>
      <c r="F226" s="24">
        <v>58000</v>
      </c>
      <c r="G226" s="23">
        <f>22393.25/1.13*1.05</f>
        <v>20807.8871681416</v>
      </c>
      <c r="H226" s="21">
        <f t="shared" si="14"/>
        <v>58000</v>
      </c>
      <c r="I226" s="33">
        <f t="shared" si="15"/>
        <v>20807.8871681416</v>
      </c>
      <c r="J226" s="21" t="s">
        <v>17</v>
      </c>
    </row>
    <row r="227" ht="78.75" spans="1:10">
      <c r="A227" s="21">
        <v>11</v>
      </c>
      <c r="B227" s="24" t="s">
        <v>390</v>
      </c>
      <c r="C227" s="86" t="s">
        <v>391</v>
      </c>
      <c r="D227" s="21" t="s">
        <v>13</v>
      </c>
      <c r="E227" s="21">
        <v>1</v>
      </c>
      <c r="F227" s="24">
        <v>153900</v>
      </c>
      <c r="G227" s="23">
        <f>88009.85/1.13*1.05</f>
        <v>81779.0641592921</v>
      </c>
      <c r="H227" s="21">
        <f t="shared" si="14"/>
        <v>153900</v>
      </c>
      <c r="I227" s="33">
        <f t="shared" si="15"/>
        <v>81779.0641592921</v>
      </c>
      <c r="J227" s="21" t="s">
        <v>17</v>
      </c>
    </row>
    <row r="228" ht="78.75" spans="1:10">
      <c r="A228" s="21">
        <v>12</v>
      </c>
      <c r="B228" s="24" t="s">
        <v>392</v>
      </c>
      <c r="C228" s="86" t="s">
        <v>393</v>
      </c>
      <c r="D228" s="21" t="s">
        <v>13</v>
      </c>
      <c r="E228" s="21">
        <v>1</v>
      </c>
      <c r="F228" s="24">
        <v>140000</v>
      </c>
      <c r="G228" s="23">
        <f>76077.55/1.13*1.05</f>
        <v>70691.528761062</v>
      </c>
      <c r="H228" s="21">
        <f t="shared" si="14"/>
        <v>140000</v>
      </c>
      <c r="I228" s="33">
        <f t="shared" si="15"/>
        <v>70691.528761062</v>
      </c>
      <c r="J228" s="21" t="s">
        <v>17</v>
      </c>
    </row>
    <row r="229" ht="78.75" spans="1:10">
      <c r="A229" s="21">
        <v>13</v>
      </c>
      <c r="B229" s="24" t="s">
        <v>394</v>
      </c>
      <c r="C229" s="86" t="s">
        <v>395</v>
      </c>
      <c r="D229" s="21" t="s">
        <v>13</v>
      </c>
      <c r="E229" s="24">
        <v>1</v>
      </c>
      <c r="F229" s="24">
        <v>118000</v>
      </c>
      <c r="G229" s="23">
        <f>61993.05/1.13*1.05</f>
        <v>57604.1615044248</v>
      </c>
      <c r="H229" s="21">
        <f t="shared" si="14"/>
        <v>118000</v>
      </c>
      <c r="I229" s="33">
        <f t="shared" si="15"/>
        <v>57604.1615044248</v>
      </c>
      <c r="J229" s="21" t="s">
        <v>17</v>
      </c>
    </row>
    <row r="230" ht="78.75" spans="1:10">
      <c r="A230" s="21">
        <v>14</v>
      </c>
      <c r="B230" s="24" t="s">
        <v>396</v>
      </c>
      <c r="C230" s="86" t="s">
        <v>397</v>
      </c>
      <c r="D230" s="21" t="s">
        <v>13</v>
      </c>
      <c r="E230" s="21">
        <v>1</v>
      </c>
      <c r="F230" s="24">
        <v>129000</v>
      </c>
      <c r="G230" s="23">
        <f>67217.15/1.13*1.05</f>
        <v>62458.4137168142</v>
      </c>
      <c r="H230" s="21">
        <f t="shared" si="14"/>
        <v>129000</v>
      </c>
      <c r="I230" s="33">
        <f t="shared" si="15"/>
        <v>62458.4137168142</v>
      </c>
      <c r="J230" s="21" t="s">
        <v>17</v>
      </c>
    </row>
    <row r="231" ht="67.5" spans="1:10">
      <c r="A231" s="21">
        <v>15</v>
      </c>
      <c r="B231" s="24" t="s">
        <v>398</v>
      </c>
      <c r="C231" s="86" t="s">
        <v>399</v>
      </c>
      <c r="D231" s="21" t="s">
        <v>13</v>
      </c>
      <c r="E231" s="24">
        <v>1</v>
      </c>
      <c r="F231" s="24">
        <v>81000</v>
      </c>
      <c r="G231" s="23">
        <f>32521.85/1.13*1.05</f>
        <v>30219.4181415929</v>
      </c>
      <c r="H231" s="21">
        <f t="shared" si="14"/>
        <v>81000</v>
      </c>
      <c r="I231" s="33">
        <f t="shared" si="15"/>
        <v>30219.4181415929</v>
      </c>
      <c r="J231" s="21" t="s">
        <v>17</v>
      </c>
    </row>
    <row r="232" ht="67.5" spans="1:10">
      <c r="A232" s="21">
        <v>16</v>
      </c>
      <c r="B232" s="24" t="s">
        <v>400</v>
      </c>
      <c r="C232" s="86" t="s">
        <v>401</v>
      </c>
      <c r="D232" s="21" t="s">
        <v>13</v>
      </c>
      <c r="E232" s="24">
        <v>1</v>
      </c>
      <c r="F232" s="24">
        <v>162000</v>
      </c>
      <c r="G232" s="23">
        <f>62337.3/1.13*1.05</f>
        <v>57924.0398230089</v>
      </c>
      <c r="H232" s="21">
        <f t="shared" si="14"/>
        <v>162000</v>
      </c>
      <c r="I232" s="33">
        <f t="shared" si="15"/>
        <v>57924.0398230089</v>
      </c>
      <c r="J232" s="21" t="s">
        <v>17</v>
      </c>
    </row>
    <row r="233" ht="67.5" spans="1:10">
      <c r="A233" s="21">
        <v>17</v>
      </c>
      <c r="B233" s="24" t="s">
        <v>402</v>
      </c>
      <c r="C233" s="86" t="s">
        <v>403</v>
      </c>
      <c r="D233" s="21" t="s">
        <v>13</v>
      </c>
      <c r="E233" s="24">
        <v>1</v>
      </c>
      <c r="F233" s="24">
        <v>27000</v>
      </c>
      <c r="G233" s="23">
        <f>18080.35/1.13*1.05</f>
        <v>16800.3252212389</v>
      </c>
      <c r="H233" s="21">
        <f t="shared" si="14"/>
        <v>27000</v>
      </c>
      <c r="I233" s="33">
        <f t="shared" si="15"/>
        <v>16800.3252212389</v>
      </c>
      <c r="J233" s="21" t="s">
        <v>17</v>
      </c>
    </row>
    <row r="234" ht="45" spans="1:10">
      <c r="A234" s="21">
        <v>18</v>
      </c>
      <c r="B234" s="24" t="s">
        <v>404</v>
      </c>
      <c r="C234" s="86" t="s">
        <v>405</v>
      </c>
      <c r="D234" s="21" t="s">
        <v>13</v>
      </c>
      <c r="E234" s="24">
        <v>17</v>
      </c>
      <c r="F234" s="25">
        <v>0</v>
      </c>
      <c r="G234" s="25">
        <v>37611</v>
      </c>
      <c r="H234" s="21">
        <f t="shared" si="14"/>
        <v>0</v>
      </c>
      <c r="I234" s="33">
        <f t="shared" si="15"/>
        <v>639387</v>
      </c>
      <c r="J234" s="21" t="s">
        <v>406</v>
      </c>
    </row>
    <row r="235" ht="33.75" spans="1:10">
      <c r="A235" s="21">
        <v>19</v>
      </c>
      <c r="B235" s="24" t="s">
        <v>407</v>
      </c>
      <c r="C235" s="24" t="s">
        <v>408</v>
      </c>
      <c r="D235" s="21" t="s">
        <v>13</v>
      </c>
      <c r="E235" s="24">
        <v>2</v>
      </c>
      <c r="F235" s="25">
        <v>14000</v>
      </c>
      <c r="G235" s="25">
        <f>7450/1.13</f>
        <v>6592.9203539823</v>
      </c>
      <c r="H235" s="21">
        <f t="shared" si="14"/>
        <v>28000</v>
      </c>
      <c r="I235" s="33">
        <f t="shared" si="15"/>
        <v>13185.8407079646</v>
      </c>
      <c r="J235" s="21" t="s">
        <v>58</v>
      </c>
    </row>
    <row r="236" ht="12.75" spans="1:10">
      <c r="A236" s="21">
        <v>20</v>
      </c>
      <c r="B236" s="24" t="s">
        <v>409</v>
      </c>
      <c r="C236" s="24" t="s">
        <v>410</v>
      </c>
      <c r="D236" s="21" t="s">
        <v>13</v>
      </c>
      <c r="E236" s="24">
        <v>4</v>
      </c>
      <c r="F236" s="24">
        <v>44000</v>
      </c>
      <c r="G236" s="25">
        <f>28800/1.13</f>
        <v>25486.7256637168</v>
      </c>
      <c r="H236" s="21">
        <f t="shared" si="14"/>
        <v>176000</v>
      </c>
      <c r="I236" s="33">
        <f t="shared" si="15"/>
        <v>101946.902654867</v>
      </c>
      <c r="J236" s="21" t="s">
        <v>58</v>
      </c>
    </row>
    <row r="237" ht="12.75" spans="1:10">
      <c r="A237" s="21">
        <v>21</v>
      </c>
      <c r="B237" s="24" t="s">
        <v>411</v>
      </c>
      <c r="C237" s="24" t="s">
        <v>412</v>
      </c>
      <c r="D237" s="21" t="s">
        <v>13</v>
      </c>
      <c r="E237" s="24">
        <v>21</v>
      </c>
      <c r="F237" s="24">
        <v>1300</v>
      </c>
      <c r="G237" s="25">
        <f>670/1.13</f>
        <v>592.920353982301</v>
      </c>
      <c r="H237" s="21">
        <f t="shared" si="14"/>
        <v>27300</v>
      </c>
      <c r="I237" s="33">
        <f t="shared" si="15"/>
        <v>12451.3274336283</v>
      </c>
      <c r="J237" s="21" t="s">
        <v>58</v>
      </c>
    </row>
    <row r="238" ht="12.75" spans="1:10">
      <c r="A238" s="21">
        <v>22</v>
      </c>
      <c r="B238" s="24" t="s">
        <v>413</v>
      </c>
      <c r="C238" s="24" t="s">
        <v>414</v>
      </c>
      <c r="D238" s="21" t="s">
        <v>97</v>
      </c>
      <c r="E238" s="24">
        <v>1</v>
      </c>
      <c r="F238" s="24">
        <v>47700</v>
      </c>
      <c r="G238" s="25">
        <f>32000/1.13</f>
        <v>28318.5840707965</v>
      </c>
      <c r="H238" s="21">
        <f t="shared" si="14"/>
        <v>47700</v>
      </c>
      <c r="I238" s="33">
        <f t="shared" si="15"/>
        <v>28318.5840707965</v>
      </c>
      <c r="J238" s="21" t="s">
        <v>58</v>
      </c>
    </row>
    <row r="239" ht="22.5" spans="1:10">
      <c r="A239" s="21">
        <v>23</v>
      </c>
      <c r="B239" s="24" t="s">
        <v>415</v>
      </c>
      <c r="C239" s="24" t="s">
        <v>416</v>
      </c>
      <c r="D239" s="21" t="s">
        <v>13</v>
      </c>
      <c r="E239" s="24">
        <v>2</v>
      </c>
      <c r="F239" s="24">
        <v>17400</v>
      </c>
      <c r="G239" s="25">
        <f>5150/1.13</f>
        <v>4557.52212389381</v>
      </c>
      <c r="H239" s="21">
        <f t="shared" si="14"/>
        <v>34800</v>
      </c>
      <c r="I239" s="33">
        <f t="shared" si="15"/>
        <v>9115.04424778761</v>
      </c>
      <c r="J239" s="21" t="s">
        <v>58</v>
      </c>
    </row>
    <row r="240" ht="22.5" spans="1:10">
      <c r="A240" s="21">
        <v>24</v>
      </c>
      <c r="B240" s="24" t="s">
        <v>415</v>
      </c>
      <c r="C240" s="24" t="s">
        <v>417</v>
      </c>
      <c r="D240" s="21" t="s">
        <v>13</v>
      </c>
      <c r="E240" s="24">
        <v>3</v>
      </c>
      <c r="F240" s="24">
        <v>20000</v>
      </c>
      <c r="G240" s="25">
        <f>5806/1.13</f>
        <v>5138.05309734513</v>
      </c>
      <c r="H240" s="21">
        <f t="shared" si="14"/>
        <v>60000</v>
      </c>
      <c r="I240" s="33">
        <f t="shared" si="15"/>
        <v>15414.1592920354</v>
      </c>
      <c r="J240" s="21" t="s">
        <v>58</v>
      </c>
    </row>
    <row r="241" ht="22.5" spans="1:10">
      <c r="A241" s="21">
        <v>25</v>
      </c>
      <c r="B241" s="24" t="s">
        <v>415</v>
      </c>
      <c r="C241" s="24" t="s">
        <v>418</v>
      </c>
      <c r="D241" s="21" t="s">
        <v>13</v>
      </c>
      <c r="E241" s="24">
        <v>2</v>
      </c>
      <c r="F241" s="24">
        <v>26300</v>
      </c>
      <c r="G241" s="25">
        <f>6738/1.13</f>
        <v>5962.83185840708</v>
      </c>
      <c r="H241" s="21">
        <f t="shared" si="14"/>
        <v>52600</v>
      </c>
      <c r="I241" s="33">
        <f t="shared" si="15"/>
        <v>11925.6637168142</v>
      </c>
      <c r="J241" s="21" t="s">
        <v>58</v>
      </c>
    </row>
    <row r="242" ht="22.5" spans="1:10">
      <c r="A242" s="21">
        <v>26</v>
      </c>
      <c r="B242" s="24" t="s">
        <v>415</v>
      </c>
      <c r="C242" s="24" t="s">
        <v>419</v>
      </c>
      <c r="D242" s="21" t="s">
        <v>13</v>
      </c>
      <c r="E242" s="24">
        <v>3</v>
      </c>
      <c r="F242" s="24">
        <v>31000</v>
      </c>
      <c r="G242" s="25">
        <f>6840/1.13</f>
        <v>6053.09734513274</v>
      </c>
      <c r="H242" s="21">
        <f t="shared" si="14"/>
        <v>93000</v>
      </c>
      <c r="I242" s="33">
        <f t="shared" si="15"/>
        <v>18159.2920353982</v>
      </c>
      <c r="J242" s="21" t="s">
        <v>58</v>
      </c>
    </row>
    <row r="243" ht="22.5" spans="1:10">
      <c r="A243" s="21">
        <v>27</v>
      </c>
      <c r="B243" s="24" t="s">
        <v>415</v>
      </c>
      <c r="C243" s="24" t="s">
        <v>420</v>
      </c>
      <c r="D243" s="21" t="s">
        <v>13</v>
      </c>
      <c r="E243" s="24">
        <v>2</v>
      </c>
      <c r="F243" s="24">
        <v>39500</v>
      </c>
      <c r="G243" s="25">
        <f>12680/1.13</f>
        <v>11221.2389380531</v>
      </c>
      <c r="H243" s="21">
        <f t="shared" si="14"/>
        <v>79000</v>
      </c>
      <c r="I243" s="33">
        <f t="shared" si="15"/>
        <v>22442.4778761062</v>
      </c>
      <c r="J243" s="21" t="s">
        <v>58</v>
      </c>
    </row>
    <row r="244" ht="33.75" spans="1:10">
      <c r="A244" s="21">
        <v>28</v>
      </c>
      <c r="B244" s="24" t="s">
        <v>421</v>
      </c>
      <c r="C244" s="24" t="s">
        <v>422</v>
      </c>
      <c r="D244" s="21" t="s">
        <v>73</v>
      </c>
      <c r="E244" s="24">
        <v>2</v>
      </c>
      <c r="F244" s="24">
        <v>21000</v>
      </c>
      <c r="G244" s="25">
        <f>23469*0+21000</f>
        <v>21000</v>
      </c>
      <c r="H244" s="21">
        <f t="shared" si="14"/>
        <v>42000</v>
      </c>
      <c r="I244" s="33">
        <f t="shared" si="15"/>
        <v>42000</v>
      </c>
      <c r="J244" s="21" t="s">
        <v>406</v>
      </c>
    </row>
    <row r="245" ht="33.75" spans="1:10">
      <c r="A245" s="21">
        <v>29</v>
      </c>
      <c r="B245" s="24" t="s">
        <v>421</v>
      </c>
      <c r="C245" s="24" t="s">
        <v>423</v>
      </c>
      <c r="D245" s="21" t="s">
        <v>73</v>
      </c>
      <c r="E245" s="24">
        <v>2</v>
      </c>
      <c r="F245" s="24">
        <v>19680</v>
      </c>
      <c r="G245" s="25">
        <f>21106*0+19680</f>
        <v>19680</v>
      </c>
      <c r="H245" s="21">
        <f t="shared" si="14"/>
        <v>39360</v>
      </c>
      <c r="I245" s="33">
        <f t="shared" si="15"/>
        <v>39360</v>
      </c>
      <c r="J245" s="21" t="s">
        <v>406</v>
      </c>
    </row>
    <row r="246" ht="33.75" spans="1:10">
      <c r="A246" s="21">
        <v>30</v>
      </c>
      <c r="B246" s="24" t="s">
        <v>421</v>
      </c>
      <c r="C246" s="24" t="s">
        <v>424</v>
      </c>
      <c r="D246" s="21" t="s">
        <v>73</v>
      </c>
      <c r="E246" s="24">
        <v>13</v>
      </c>
      <c r="F246" s="24">
        <v>15550</v>
      </c>
      <c r="G246" s="25">
        <v>15550</v>
      </c>
      <c r="H246" s="21">
        <f t="shared" si="14"/>
        <v>202150</v>
      </c>
      <c r="I246" s="33">
        <f t="shared" si="15"/>
        <v>202150</v>
      </c>
      <c r="J246" s="21" t="s">
        <v>406</v>
      </c>
    </row>
    <row r="247" ht="67.5" spans="1:10">
      <c r="A247" s="21"/>
      <c r="B247" s="24" t="s">
        <v>425</v>
      </c>
      <c r="C247" s="24" t="s">
        <v>426</v>
      </c>
      <c r="D247" s="21" t="s">
        <v>97</v>
      </c>
      <c r="E247" s="24">
        <v>19</v>
      </c>
      <c r="F247" s="24">
        <v>15500</v>
      </c>
      <c r="G247" s="25">
        <v>6969</v>
      </c>
      <c r="H247" s="21">
        <f t="shared" si="14"/>
        <v>294500</v>
      </c>
      <c r="I247" s="33">
        <f t="shared" si="15"/>
        <v>132411</v>
      </c>
      <c r="J247" s="21" t="s">
        <v>406</v>
      </c>
    </row>
    <row r="248" ht="67.5" spans="1:10">
      <c r="A248" s="21"/>
      <c r="B248" s="24" t="s">
        <v>427</v>
      </c>
      <c r="C248" s="24" t="s">
        <v>428</v>
      </c>
      <c r="D248" s="21" t="s">
        <v>97</v>
      </c>
      <c r="E248" s="24">
        <v>10</v>
      </c>
      <c r="F248" s="24">
        <v>26000</v>
      </c>
      <c r="G248" s="25">
        <v>18411</v>
      </c>
      <c r="H248" s="21">
        <f t="shared" si="14"/>
        <v>260000</v>
      </c>
      <c r="I248" s="33">
        <f t="shared" si="15"/>
        <v>184110</v>
      </c>
      <c r="J248" s="21" t="s">
        <v>406</v>
      </c>
    </row>
    <row r="249" ht="67.5" spans="1:10">
      <c r="A249" s="21"/>
      <c r="B249" s="24" t="s">
        <v>429</v>
      </c>
      <c r="C249" s="24" t="s">
        <v>430</v>
      </c>
      <c r="D249" s="21" t="s">
        <v>97</v>
      </c>
      <c r="E249" s="24">
        <v>1</v>
      </c>
      <c r="F249" s="24">
        <v>23000</v>
      </c>
      <c r="G249" s="25">
        <v>13851</v>
      </c>
      <c r="H249" s="21">
        <f t="shared" si="14"/>
        <v>23000</v>
      </c>
      <c r="I249" s="33">
        <f t="shared" si="15"/>
        <v>13851</v>
      </c>
      <c r="J249" s="21" t="s">
        <v>406</v>
      </c>
    </row>
    <row r="250" ht="22.5" spans="1:10">
      <c r="A250" s="21">
        <v>31</v>
      </c>
      <c r="B250" s="24" t="s">
        <v>431</v>
      </c>
      <c r="C250" s="24" t="s">
        <v>432</v>
      </c>
      <c r="D250" s="21" t="s">
        <v>13</v>
      </c>
      <c r="E250" s="24">
        <v>20</v>
      </c>
      <c r="F250" s="24">
        <v>0</v>
      </c>
      <c r="G250" s="25">
        <v>1320</v>
      </c>
      <c r="H250" s="21">
        <f t="shared" si="14"/>
        <v>0</v>
      </c>
      <c r="I250" s="33">
        <f t="shared" si="15"/>
        <v>26400</v>
      </c>
      <c r="J250" s="21" t="s">
        <v>406</v>
      </c>
    </row>
    <row r="251" ht="22.5" spans="1:10">
      <c r="A251" s="21">
        <v>32</v>
      </c>
      <c r="B251" s="24" t="s">
        <v>431</v>
      </c>
      <c r="C251" s="24" t="s">
        <v>433</v>
      </c>
      <c r="D251" s="21" t="s">
        <v>13</v>
      </c>
      <c r="E251" s="24">
        <v>99</v>
      </c>
      <c r="F251" s="24">
        <v>0</v>
      </c>
      <c r="G251" s="25">
        <v>1580</v>
      </c>
      <c r="H251" s="21">
        <f t="shared" si="14"/>
        <v>0</v>
      </c>
      <c r="I251" s="33">
        <f t="shared" si="15"/>
        <v>156420</v>
      </c>
      <c r="J251" s="21" t="s">
        <v>406</v>
      </c>
    </row>
    <row r="252" ht="22.5" spans="1:10">
      <c r="A252" s="21">
        <v>33</v>
      </c>
      <c r="B252" s="24" t="s">
        <v>71</v>
      </c>
      <c r="C252" s="24" t="s">
        <v>434</v>
      </c>
      <c r="D252" s="21" t="s">
        <v>73</v>
      </c>
      <c r="E252" s="24">
        <v>3</v>
      </c>
      <c r="F252" s="24">
        <v>4800</v>
      </c>
      <c r="G252" s="25">
        <f>4942/1.13</f>
        <v>4373.45132743363</v>
      </c>
      <c r="H252" s="21">
        <f t="shared" si="14"/>
        <v>14400</v>
      </c>
      <c r="I252" s="33">
        <f t="shared" si="15"/>
        <v>13120.3539823009</v>
      </c>
      <c r="J252" s="21" t="s">
        <v>58</v>
      </c>
    </row>
    <row r="253" ht="22.5" spans="1:10">
      <c r="A253" s="21">
        <v>34</v>
      </c>
      <c r="B253" s="24" t="s">
        <v>71</v>
      </c>
      <c r="C253" s="24" t="s">
        <v>435</v>
      </c>
      <c r="D253" s="21" t="s">
        <v>73</v>
      </c>
      <c r="E253" s="24">
        <v>3</v>
      </c>
      <c r="F253" s="24">
        <v>4910</v>
      </c>
      <c r="G253" s="25">
        <f>5095/1.13</f>
        <v>4508.84955752212</v>
      </c>
      <c r="H253" s="21">
        <f t="shared" si="14"/>
        <v>14730</v>
      </c>
      <c r="I253" s="33">
        <f t="shared" si="15"/>
        <v>13526.5486725664</v>
      </c>
      <c r="J253" s="21" t="s">
        <v>58</v>
      </c>
    </row>
    <row r="254" ht="22.5" spans="1:10">
      <c r="A254" s="21">
        <v>35</v>
      </c>
      <c r="B254" s="24" t="s">
        <v>71</v>
      </c>
      <c r="C254" s="24" t="s">
        <v>436</v>
      </c>
      <c r="D254" s="21" t="s">
        <v>73</v>
      </c>
      <c r="E254" s="24">
        <v>1</v>
      </c>
      <c r="F254" s="24">
        <v>5300</v>
      </c>
      <c r="G254" s="25">
        <f>5541/1.13</f>
        <v>4903.53982300885</v>
      </c>
      <c r="H254" s="21">
        <f t="shared" si="14"/>
        <v>5300</v>
      </c>
      <c r="I254" s="33">
        <f t="shared" si="15"/>
        <v>4903.53982300885</v>
      </c>
      <c r="J254" s="21" t="s">
        <v>58</v>
      </c>
    </row>
    <row r="255" ht="22.5" spans="1:10">
      <c r="A255" s="21">
        <v>36</v>
      </c>
      <c r="B255" s="24" t="s">
        <v>71</v>
      </c>
      <c r="C255" s="24" t="s">
        <v>437</v>
      </c>
      <c r="D255" s="21" t="s">
        <v>73</v>
      </c>
      <c r="E255" s="24">
        <v>2</v>
      </c>
      <c r="F255" s="24">
        <v>6800</v>
      </c>
      <c r="G255" s="25">
        <f>5935/1.13</f>
        <v>5252.21238938053</v>
      </c>
      <c r="H255" s="21">
        <f t="shared" si="14"/>
        <v>13600</v>
      </c>
      <c r="I255" s="33">
        <f t="shared" si="15"/>
        <v>10504.4247787611</v>
      </c>
      <c r="J255" s="21" t="s">
        <v>58</v>
      </c>
    </row>
    <row r="256" ht="12.75" spans="1:10">
      <c r="A256" s="21">
        <v>37</v>
      </c>
      <c r="B256" s="24" t="s">
        <v>438</v>
      </c>
      <c r="C256" s="24" t="s">
        <v>439</v>
      </c>
      <c r="D256" s="21" t="s">
        <v>13</v>
      </c>
      <c r="E256" s="24">
        <v>31</v>
      </c>
      <c r="F256" s="24">
        <v>1800</v>
      </c>
      <c r="G256" s="25">
        <f>1045/1.13</f>
        <v>924.778761061947</v>
      </c>
      <c r="H256" s="21">
        <f t="shared" si="14"/>
        <v>55800</v>
      </c>
      <c r="I256" s="33">
        <f t="shared" si="15"/>
        <v>28668.1415929204</v>
      </c>
      <c r="J256" s="21" t="s">
        <v>58</v>
      </c>
    </row>
    <row r="257" ht="12.75" spans="1:10">
      <c r="A257" s="21">
        <v>38</v>
      </c>
      <c r="B257" s="24" t="s">
        <v>438</v>
      </c>
      <c r="C257" s="24" t="s">
        <v>440</v>
      </c>
      <c r="D257" s="21" t="s">
        <v>13</v>
      </c>
      <c r="E257" s="24">
        <v>1</v>
      </c>
      <c r="F257" s="24">
        <v>2000</v>
      </c>
      <c r="G257" s="25">
        <f>1252/1.13</f>
        <v>1107.96460176991</v>
      </c>
      <c r="H257" s="21">
        <f t="shared" si="14"/>
        <v>2000</v>
      </c>
      <c r="I257" s="33">
        <f t="shared" si="15"/>
        <v>1107.96460176991</v>
      </c>
      <c r="J257" s="21" t="s">
        <v>58</v>
      </c>
    </row>
    <row r="258" ht="12.75" spans="1:10">
      <c r="A258" s="21">
        <v>39</v>
      </c>
      <c r="B258" s="24" t="s">
        <v>438</v>
      </c>
      <c r="C258" s="24" t="s">
        <v>441</v>
      </c>
      <c r="D258" s="21" t="s">
        <v>13</v>
      </c>
      <c r="E258" s="24">
        <v>12</v>
      </c>
      <c r="F258" s="24">
        <v>2900</v>
      </c>
      <c r="G258" s="25">
        <f>2200/1.13</f>
        <v>1946.90265486726</v>
      </c>
      <c r="H258" s="21">
        <f t="shared" si="14"/>
        <v>34800</v>
      </c>
      <c r="I258" s="33">
        <f t="shared" si="15"/>
        <v>23362.8318584071</v>
      </c>
      <c r="J258" s="21" t="s">
        <v>58</v>
      </c>
    </row>
    <row r="259" ht="12.75" spans="1:10">
      <c r="A259" s="21">
        <v>40</v>
      </c>
      <c r="B259" s="24" t="s">
        <v>438</v>
      </c>
      <c r="C259" s="24" t="s">
        <v>442</v>
      </c>
      <c r="D259" s="21" t="s">
        <v>13</v>
      </c>
      <c r="E259" s="24">
        <v>2</v>
      </c>
      <c r="F259" s="24">
        <v>3400</v>
      </c>
      <c r="G259" s="25">
        <f>2600/1.13</f>
        <v>2300.88495575221</v>
      </c>
      <c r="H259" s="21">
        <f t="shared" si="14"/>
        <v>6800</v>
      </c>
      <c r="I259" s="33">
        <f t="shared" si="15"/>
        <v>4601.76991150443</v>
      </c>
      <c r="J259" s="21" t="s">
        <v>58</v>
      </c>
    </row>
    <row r="260" ht="12.75" spans="1:10">
      <c r="A260" s="21">
        <v>41</v>
      </c>
      <c r="B260" s="24" t="s">
        <v>438</v>
      </c>
      <c r="C260" s="24" t="s">
        <v>443</v>
      </c>
      <c r="D260" s="21" t="s">
        <v>13</v>
      </c>
      <c r="E260" s="24">
        <v>1</v>
      </c>
      <c r="F260" s="24">
        <v>3600</v>
      </c>
      <c r="G260" s="25">
        <f>2910/1.13</f>
        <v>2575.22123893805</v>
      </c>
      <c r="H260" s="21">
        <f t="shared" si="14"/>
        <v>3600</v>
      </c>
      <c r="I260" s="33">
        <f t="shared" si="15"/>
        <v>2575.22123893805</v>
      </c>
      <c r="J260" s="21" t="s">
        <v>58</v>
      </c>
    </row>
    <row r="261" ht="12.75" spans="1:10">
      <c r="A261" s="21">
        <v>42</v>
      </c>
      <c r="B261" s="24" t="s">
        <v>444</v>
      </c>
      <c r="C261" s="24" t="s">
        <v>445</v>
      </c>
      <c r="D261" s="21" t="s">
        <v>13</v>
      </c>
      <c r="E261" s="24">
        <v>2</v>
      </c>
      <c r="F261" s="24">
        <v>4300</v>
      </c>
      <c r="G261" s="25">
        <f>3335</f>
        <v>3335</v>
      </c>
      <c r="H261" s="21">
        <f t="shared" si="14"/>
        <v>8600</v>
      </c>
      <c r="I261" s="33">
        <f t="shared" si="15"/>
        <v>6670</v>
      </c>
      <c r="J261" s="21" t="s">
        <v>58</v>
      </c>
    </row>
    <row r="262" ht="22.5" spans="1:10">
      <c r="A262" s="21">
        <v>43</v>
      </c>
      <c r="B262" s="24" t="s">
        <v>446</v>
      </c>
      <c r="C262" s="24" t="s">
        <v>447</v>
      </c>
      <c r="D262" s="21" t="s">
        <v>13</v>
      </c>
      <c r="E262" s="24">
        <v>1</v>
      </c>
      <c r="F262" s="24">
        <v>1000</v>
      </c>
      <c r="G262" s="25">
        <f>588/1.13*1.05</f>
        <v>546.371681415929</v>
      </c>
      <c r="H262" s="21">
        <f t="shared" si="14"/>
        <v>1000</v>
      </c>
      <c r="I262" s="33">
        <f t="shared" si="15"/>
        <v>546.371681415929</v>
      </c>
      <c r="J262" s="21" t="s">
        <v>58</v>
      </c>
    </row>
    <row r="263" ht="22.5" spans="1:10">
      <c r="A263" s="21">
        <v>44</v>
      </c>
      <c r="B263" s="24" t="s">
        <v>446</v>
      </c>
      <c r="C263" s="24" t="s">
        <v>448</v>
      </c>
      <c r="D263" s="21" t="s">
        <v>13</v>
      </c>
      <c r="E263" s="24">
        <v>3</v>
      </c>
      <c r="F263" s="24">
        <v>1900</v>
      </c>
      <c r="G263" s="25">
        <f>742/1.13*1.05</f>
        <v>689.469026548673</v>
      </c>
      <c r="H263" s="21">
        <f t="shared" si="14"/>
        <v>5700</v>
      </c>
      <c r="I263" s="33">
        <f t="shared" si="15"/>
        <v>2068.40707964602</v>
      </c>
      <c r="J263" s="21" t="s">
        <v>58</v>
      </c>
    </row>
    <row r="264" ht="22.5" spans="1:10">
      <c r="A264" s="21">
        <v>45</v>
      </c>
      <c r="B264" s="24" t="s">
        <v>446</v>
      </c>
      <c r="C264" s="24" t="s">
        <v>449</v>
      </c>
      <c r="D264" s="21" t="s">
        <v>13</v>
      </c>
      <c r="E264" s="24">
        <v>2</v>
      </c>
      <c r="F264" s="24">
        <v>2500</v>
      </c>
      <c r="G264" s="25">
        <f>868/1.13*1.05</f>
        <v>806.548672566372</v>
      </c>
      <c r="H264" s="21">
        <f t="shared" si="14"/>
        <v>5000</v>
      </c>
      <c r="I264" s="33">
        <f t="shared" si="15"/>
        <v>1613.09734513274</v>
      </c>
      <c r="J264" s="21" t="s">
        <v>58</v>
      </c>
    </row>
    <row r="265" ht="22.5" spans="1:10">
      <c r="A265" s="21">
        <v>46</v>
      </c>
      <c r="B265" s="24" t="s">
        <v>446</v>
      </c>
      <c r="C265" s="24" t="s">
        <v>450</v>
      </c>
      <c r="D265" s="21" t="s">
        <v>13</v>
      </c>
      <c r="E265" s="24">
        <v>1</v>
      </c>
      <c r="F265" s="24">
        <v>3300</v>
      </c>
      <c r="G265" s="25">
        <f>1120/1.13*1.05</f>
        <v>1040.70796460177</v>
      </c>
      <c r="H265" s="21">
        <f t="shared" si="14"/>
        <v>3300</v>
      </c>
      <c r="I265" s="33">
        <f t="shared" si="15"/>
        <v>1040.70796460177</v>
      </c>
      <c r="J265" s="21" t="s">
        <v>58</v>
      </c>
    </row>
    <row r="266" ht="33.75" spans="1:10">
      <c r="A266" s="21">
        <v>47</v>
      </c>
      <c r="B266" s="24" t="s">
        <v>46</v>
      </c>
      <c r="C266" s="24" t="s">
        <v>451</v>
      </c>
      <c r="D266" s="21" t="s">
        <v>13</v>
      </c>
      <c r="E266" s="24">
        <v>21</v>
      </c>
      <c r="F266" s="24">
        <v>1420</v>
      </c>
      <c r="G266" s="25">
        <v>1020</v>
      </c>
      <c r="H266" s="21">
        <f t="shared" si="14"/>
        <v>29820</v>
      </c>
      <c r="I266" s="33">
        <f t="shared" si="15"/>
        <v>21420</v>
      </c>
      <c r="J266" s="21" t="s">
        <v>406</v>
      </c>
    </row>
    <row r="267" ht="33.75" spans="1:10">
      <c r="A267" s="21">
        <v>48</v>
      </c>
      <c r="B267" s="24" t="s">
        <v>48</v>
      </c>
      <c r="C267" s="24" t="s">
        <v>452</v>
      </c>
      <c r="D267" s="21" t="s">
        <v>13</v>
      </c>
      <c r="E267" s="24">
        <v>33</v>
      </c>
      <c r="F267" s="24">
        <v>1500</v>
      </c>
      <c r="G267" s="25">
        <v>1055</v>
      </c>
      <c r="H267" s="21">
        <f t="shared" si="14"/>
        <v>49500</v>
      </c>
      <c r="I267" s="33">
        <f t="shared" si="15"/>
        <v>34815</v>
      </c>
      <c r="J267" s="21" t="s">
        <v>406</v>
      </c>
    </row>
    <row r="268" ht="33.75" spans="1:10">
      <c r="A268" s="21">
        <v>49</v>
      </c>
      <c r="B268" s="24" t="s">
        <v>50</v>
      </c>
      <c r="C268" s="24" t="s">
        <v>453</v>
      </c>
      <c r="D268" s="21" t="s">
        <v>13</v>
      </c>
      <c r="E268" s="24">
        <v>8</v>
      </c>
      <c r="F268" s="24">
        <v>1600</v>
      </c>
      <c r="G268" s="25">
        <v>1095</v>
      </c>
      <c r="H268" s="21">
        <f t="shared" si="14"/>
        <v>12800</v>
      </c>
      <c r="I268" s="33">
        <f t="shared" si="15"/>
        <v>8760</v>
      </c>
      <c r="J268" s="21" t="s">
        <v>406</v>
      </c>
    </row>
    <row r="269" ht="22.5" spans="1:10">
      <c r="A269" s="22">
        <v>50</v>
      </c>
      <c r="B269" s="24" t="s">
        <v>454</v>
      </c>
      <c r="C269" s="24" t="s">
        <v>455</v>
      </c>
      <c r="D269" s="22" t="s">
        <v>13</v>
      </c>
      <c r="E269" s="24">
        <v>3</v>
      </c>
      <c r="F269" s="24">
        <v>1111500</v>
      </c>
      <c r="G269" s="25">
        <f>650000/1.13</f>
        <v>575221.238938053</v>
      </c>
      <c r="H269" s="22">
        <f t="shared" si="14"/>
        <v>3334500</v>
      </c>
      <c r="I269" s="23">
        <f t="shared" si="15"/>
        <v>1725663.71681416</v>
      </c>
      <c r="J269" s="22" t="s">
        <v>58</v>
      </c>
    </row>
    <row r="270" ht="12.75" spans="1:10">
      <c r="A270" s="21">
        <v>51</v>
      </c>
      <c r="B270" s="24" t="s">
        <v>456</v>
      </c>
      <c r="C270" s="24" t="s">
        <v>457</v>
      </c>
      <c r="D270" s="21" t="s">
        <v>13</v>
      </c>
      <c r="E270" s="24">
        <v>4</v>
      </c>
      <c r="F270" s="24">
        <v>0</v>
      </c>
      <c r="G270" s="25">
        <f>21627/1.13</f>
        <v>19138.9380530973</v>
      </c>
      <c r="H270" s="21">
        <f t="shared" si="14"/>
        <v>0</v>
      </c>
      <c r="I270" s="33">
        <f t="shared" si="15"/>
        <v>76555.7522123894</v>
      </c>
      <c r="J270" s="21" t="s">
        <v>58</v>
      </c>
    </row>
    <row r="271" ht="12.75" spans="1:10">
      <c r="A271" s="21">
        <v>52</v>
      </c>
      <c r="B271" s="24" t="s">
        <v>458</v>
      </c>
      <c r="C271" s="24" t="s">
        <v>459</v>
      </c>
      <c r="D271" s="21" t="s">
        <v>13</v>
      </c>
      <c r="E271" s="24">
        <v>3</v>
      </c>
      <c r="F271" s="24">
        <v>0</v>
      </c>
      <c r="G271" s="25">
        <f>14883/1.13</f>
        <v>13170.796460177</v>
      </c>
      <c r="H271" s="21">
        <f t="shared" si="14"/>
        <v>0</v>
      </c>
      <c r="I271" s="33">
        <f t="shared" si="15"/>
        <v>39512.389380531</v>
      </c>
      <c r="J271" s="21" t="s">
        <v>58</v>
      </c>
    </row>
    <row r="272" ht="22.5" spans="1:10">
      <c r="A272" s="21">
        <v>53</v>
      </c>
      <c r="B272" s="24" t="s">
        <v>79</v>
      </c>
      <c r="C272" s="24" t="s">
        <v>460</v>
      </c>
      <c r="D272" s="21" t="s">
        <v>13</v>
      </c>
      <c r="E272" s="24">
        <v>1</v>
      </c>
      <c r="F272" s="24">
        <v>0</v>
      </c>
      <c r="G272" s="25">
        <f>3500/1.13</f>
        <v>3097.34513274336</v>
      </c>
      <c r="H272" s="21">
        <f t="shared" si="14"/>
        <v>0</v>
      </c>
      <c r="I272" s="33">
        <f t="shared" si="15"/>
        <v>3097.34513274336</v>
      </c>
      <c r="J272" s="21" t="s">
        <v>58</v>
      </c>
    </row>
    <row r="273" ht="12.75" spans="1:10">
      <c r="A273" s="21">
        <v>54</v>
      </c>
      <c r="B273" s="24" t="s">
        <v>461</v>
      </c>
      <c r="C273" s="24" t="s">
        <v>462</v>
      </c>
      <c r="D273" s="21" t="s">
        <v>13</v>
      </c>
      <c r="E273" s="24">
        <v>1</v>
      </c>
      <c r="F273" s="24">
        <v>0</v>
      </c>
      <c r="G273" s="25">
        <f>2469.6/1.13</f>
        <v>2185.48672566372</v>
      </c>
      <c r="H273" s="21">
        <f t="shared" si="14"/>
        <v>0</v>
      </c>
      <c r="I273" s="33">
        <f t="shared" si="15"/>
        <v>2185.48672566372</v>
      </c>
      <c r="J273" s="21" t="s">
        <v>58</v>
      </c>
    </row>
    <row r="274" ht="12.75" spans="1:10">
      <c r="A274" s="21">
        <v>55</v>
      </c>
      <c r="B274" s="24" t="s">
        <v>461</v>
      </c>
      <c r="C274" s="24" t="s">
        <v>463</v>
      </c>
      <c r="D274" s="21" t="s">
        <v>13</v>
      </c>
      <c r="E274" s="24">
        <v>1</v>
      </c>
      <c r="F274" s="24">
        <v>0</v>
      </c>
      <c r="G274" s="25">
        <f>3292.8/1.13</f>
        <v>2913.98230088496</v>
      </c>
      <c r="H274" s="21">
        <f t="shared" si="14"/>
        <v>0</v>
      </c>
      <c r="I274" s="33">
        <f t="shared" si="15"/>
        <v>2913.98230088496</v>
      </c>
      <c r="J274" s="21" t="s">
        <v>58</v>
      </c>
    </row>
    <row r="275" ht="12.75" spans="1:10">
      <c r="A275" s="21">
        <v>56</v>
      </c>
      <c r="B275" s="24" t="s">
        <v>464</v>
      </c>
      <c r="C275" s="24" t="s">
        <v>465</v>
      </c>
      <c r="D275" s="21" t="s">
        <v>13</v>
      </c>
      <c r="E275" s="24">
        <v>1</v>
      </c>
      <c r="F275" s="24">
        <v>0</v>
      </c>
      <c r="G275" s="25">
        <f>6901/1.13</f>
        <v>6107.0796460177</v>
      </c>
      <c r="H275" s="21">
        <f t="shared" si="14"/>
        <v>0</v>
      </c>
      <c r="I275" s="33">
        <f t="shared" si="15"/>
        <v>6107.0796460177</v>
      </c>
      <c r="J275" s="21" t="s">
        <v>58</v>
      </c>
    </row>
    <row r="276" ht="12.75" spans="1:10">
      <c r="A276" s="21">
        <v>57</v>
      </c>
      <c r="B276" s="24" t="s">
        <v>464</v>
      </c>
      <c r="C276" s="24" t="s">
        <v>466</v>
      </c>
      <c r="D276" s="21" t="s">
        <v>13</v>
      </c>
      <c r="E276" s="24">
        <v>1</v>
      </c>
      <c r="F276" s="24">
        <v>0</v>
      </c>
      <c r="G276" s="25">
        <f>7776/1.13</f>
        <v>6881.41592920354</v>
      </c>
      <c r="H276" s="21">
        <f t="shared" si="14"/>
        <v>0</v>
      </c>
      <c r="I276" s="33">
        <f t="shared" si="15"/>
        <v>6881.41592920354</v>
      </c>
      <c r="J276" s="21" t="s">
        <v>58</v>
      </c>
    </row>
    <row r="277" ht="33.75" spans="1:10">
      <c r="A277" s="21">
        <v>58</v>
      </c>
      <c r="B277" s="24" t="s">
        <v>101</v>
      </c>
      <c r="C277" s="24" t="s">
        <v>467</v>
      </c>
      <c r="D277" s="21" t="s">
        <v>13</v>
      </c>
      <c r="E277" s="24">
        <v>17</v>
      </c>
      <c r="F277" s="24">
        <v>37500</v>
      </c>
      <c r="G277" s="25">
        <f>24000/1.13</f>
        <v>21238.9380530973</v>
      </c>
      <c r="H277" s="21">
        <f t="shared" si="14"/>
        <v>637500</v>
      </c>
      <c r="I277" s="33">
        <f t="shared" si="15"/>
        <v>361061.946902655</v>
      </c>
      <c r="J277" s="21" t="s">
        <v>58</v>
      </c>
    </row>
    <row r="278" ht="22.5" spans="1:10">
      <c r="A278" s="21">
        <v>59</v>
      </c>
      <c r="B278" s="24" t="s">
        <v>101</v>
      </c>
      <c r="C278" s="24" t="s">
        <v>468</v>
      </c>
      <c r="D278" s="21" t="s">
        <v>13</v>
      </c>
      <c r="E278" s="24">
        <v>2</v>
      </c>
      <c r="F278" s="24">
        <v>41000</v>
      </c>
      <c r="G278" s="25">
        <f>(26500-4500)/1.13</f>
        <v>19469.0265486726</v>
      </c>
      <c r="H278" s="21">
        <f t="shared" si="14"/>
        <v>82000</v>
      </c>
      <c r="I278" s="33">
        <f t="shared" si="15"/>
        <v>38938.0530973451</v>
      </c>
      <c r="J278" s="21" t="s">
        <v>406</v>
      </c>
    </row>
    <row r="279" ht="33.75" spans="1:10">
      <c r="A279" s="21">
        <v>60</v>
      </c>
      <c r="B279" s="24" t="s">
        <v>101</v>
      </c>
      <c r="C279" s="24" t="s">
        <v>102</v>
      </c>
      <c r="D279" s="21" t="s">
        <v>13</v>
      </c>
      <c r="E279" s="24">
        <v>1</v>
      </c>
      <c r="F279" s="24">
        <v>52500</v>
      </c>
      <c r="G279" s="25">
        <f>26500/1.13</f>
        <v>23451.3274336283</v>
      </c>
      <c r="H279" s="21">
        <f t="shared" si="14"/>
        <v>52500</v>
      </c>
      <c r="I279" s="33">
        <f t="shared" si="15"/>
        <v>23451.3274336283</v>
      </c>
      <c r="J279" s="21" t="s">
        <v>406</v>
      </c>
    </row>
    <row r="280" ht="22.5" spans="1:10">
      <c r="A280" s="21">
        <v>61</v>
      </c>
      <c r="B280" s="24" t="s">
        <v>469</v>
      </c>
      <c r="C280" s="24" t="s">
        <v>470</v>
      </c>
      <c r="D280" s="21" t="s">
        <v>97</v>
      </c>
      <c r="E280" s="24">
        <v>2</v>
      </c>
      <c r="F280" s="24">
        <v>480000</v>
      </c>
      <c r="G280" s="25">
        <f>279400/1.13</f>
        <v>247256.637168142</v>
      </c>
      <c r="H280" s="21">
        <f t="shared" si="14"/>
        <v>960000</v>
      </c>
      <c r="I280" s="33">
        <f t="shared" si="15"/>
        <v>494513.274336283</v>
      </c>
      <c r="J280" s="21" t="s">
        <v>58</v>
      </c>
    </row>
    <row r="281" ht="22.5" spans="1:10">
      <c r="A281" s="21">
        <v>62</v>
      </c>
      <c r="B281" s="24" t="s">
        <v>469</v>
      </c>
      <c r="C281" s="24" t="s">
        <v>471</v>
      </c>
      <c r="D281" s="21" t="s">
        <v>97</v>
      </c>
      <c r="E281" s="24">
        <v>1</v>
      </c>
      <c r="F281" s="24">
        <v>157000</v>
      </c>
      <c r="G281" s="25">
        <f>108900/1.13</f>
        <v>96371.6814159292</v>
      </c>
      <c r="H281" s="21">
        <f t="shared" ref="H281:H330" si="16">F281*E281</f>
        <v>157000</v>
      </c>
      <c r="I281" s="33">
        <f t="shared" ref="I281:I330" si="17">G281*E281</f>
        <v>96371.6814159292</v>
      </c>
      <c r="J281" s="21" t="s">
        <v>406</v>
      </c>
    </row>
    <row r="282" ht="22.5" spans="1:10">
      <c r="A282" s="21">
        <v>63</v>
      </c>
      <c r="B282" s="24" t="s">
        <v>472</v>
      </c>
      <c r="C282" s="24" t="s">
        <v>473</v>
      </c>
      <c r="D282" s="21" t="s">
        <v>97</v>
      </c>
      <c r="E282" s="24">
        <v>329</v>
      </c>
      <c r="F282" s="24">
        <v>530</v>
      </c>
      <c r="G282" s="25">
        <v>356</v>
      </c>
      <c r="H282" s="21">
        <f t="shared" si="16"/>
        <v>174370</v>
      </c>
      <c r="I282" s="33">
        <f t="shared" si="17"/>
        <v>117124</v>
      </c>
      <c r="J282" s="21" t="s">
        <v>406</v>
      </c>
    </row>
    <row r="283" ht="22.5" spans="1:10">
      <c r="A283" s="21">
        <v>64</v>
      </c>
      <c r="B283" s="24" t="s">
        <v>472</v>
      </c>
      <c r="C283" s="24" t="s">
        <v>474</v>
      </c>
      <c r="D283" s="21" t="s">
        <v>97</v>
      </c>
      <c r="E283" s="24">
        <v>31</v>
      </c>
      <c r="F283" s="24">
        <v>593</v>
      </c>
      <c r="G283" s="25">
        <v>513</v>
      </c>
      <c r="H283" s="21">
        <f t="shared" si="16"/>
        <v>18383</v>
      </c>
      <c r="I283" s="33">
        <f t="shared" si="17"/>
        <v>15903</v>
      </c>
      <c r="J283" s="21" t="s">
        <v>406</v>
      </c>
    </row>
    <row r="284" ht="22.5" spans="1:10">
      <c r="A284" s="21">
        <v>65</v>
      </c>
      <c r="B284" s="24" t="s">
        <v>472</v>
      </c>
      <c r="C284" s="24" t="s">
        <v>475</v>
      </c>
      <c r="D284" s="21" t="s">
        <v>97</v>
      </c>
      <c r="E284" s="24">
        <v>143</v>
      </c>
      <c r="F284" s="24">
        <v>550</v>
      </c>
      <c r="G284" s="25">
        <v>360</v>
      </c>
      <c r="H284" s="21">
        <f t="shared" si="16"/>
        <v>78650</v>
      </c>
      <c r="I284" s="33">
        <f t="shared" si="17"/>
        <v>51480</v>
      </c>
      <c r="J284" s="21" t="s">
        <v>406</v>
      </c>
    </row>
    <row r="285" ht="22.5" spans="1:10">
      <c r="A285" s="21">
        <v>66</v>
      </c>
      <c r="B285" s="24" t="s">
        <v>472</v>
      </c>
      <c r="C285" s="24" t="s">
        <v>476</v>
      </c>
      <c r="D285" s="21" t="s">
        <v>97</v>
      </c>
      <c r="E285" s="24">
        <v>102</v>
      </c>
      <c r="F285" s="24">
        <v>613</v>
      </c>
      <c r="G285" s="25">
        <v>527</v>
      </c>
      <c r="H285" s="21">
        <f t="shared" si="16"/>
        <v>62526</v>
      </c>
      <c r="I285" s="33">
        <f t="shared" si="17"/>
        <v>53754</v>
      </c>
      <c r="J285" s="21" t="s">
        <v>406</v>
      </c>
    </row>
    <row r="286" ht="33.75" spans="1:10">
      <c r="A286" s="21">
        <v>67</v>
      </c>
      <c r="B286" s="24" t="s">
        <v>477</v>
      </c>
      <c r="C286" s="24" t="s">
        <v>478</v>
      </c>
      <c r="D286" s="21" t="s">
        <v>73</v>
      </c>
      <c r="E286" s="24">
        <v>17</v>
      </c>
      <c r="F286" s="24">
        <v>16500</v>
      </c>
      <c r="G286" s="25">
        <v>12600</v>
      </c>
      <c r="H286" s="21">
        <f t="shared" si="16"/>
        <v>280500</v>
      </c>
      <c r="I286" s="33">
        <f t="shared" si="17"/>
        <v>214200</v>
      </c>
      <c r="J286" s="21" t="s">
        <v>406</v>
      </c>
    </row>
    <row r="287" ht="22.5" spans="1:10">
      <c r="A287" s="21">
        <v>68</v>
      </c>
      <c r="B287" s="24" t="s">
        <v>479</v>
      </c>
      <c r="C287" s="24" t="s">
        <v>480</v>
      </c>
      <c r="D287" s="21" t="s">
        <v>73</v>
      </c>
      <c r="E287" s="24">
        <v>17</v>
      </c>
      <c r="F287" s="24">
        <v>1350</v>
      </c>
      <c r="G287" s="25">
        <f>1200/1.13</f>
        <v>1061.94690265487</v>
      </c>
      <c r="H287" s="21">
        <f t="shared" si="16"/>
        <v>22950</v>
      </c>
      <c r="I287" s="33">
        <f t="shared" si="17"/>
        <v>18053.0973451327</v>
      </c>
      <c r="J287" s="21" t="s">
        <v>58</v>
      </c>
    </row>
    <row r="288" ht="45" spans="1:10">
      <c r="A288" s="21">
        <v>69</v>
      </c>
      <c r="B288" s="24" t="s">
        <v>481</v>
      </c>
      <c r="C288" s="24" t="s">
        <v>482</v>
      </c>
      <c r="D288" s="21" t="s">
        <v>73</v>
      </c>
      <c r="E288" s="24">
        <v>51</v>
      </c>
      <c r="F288" s="24">
        <v>1400</v>
      </c>
      <c r="G288" s="25">
        <f>546*1.05</f>
        <v>573.3</v>
      </c>
      <c r="H288" s="21">
        <f t="shared" si="16"/>
        <v>71400</v>
      </c>
      <c r="I288" s="33">
        <f t="shared" si="17"/>
        <v>29238.3</v>
      </c>
      <c r="J288" s="21" t="s">
        <v>58</v>
      </c>
    </row>
    <row r="289" ht="56.25" spans="1:10">
      <c r="A289" s="21">
        <v>70</v>
      </c>
      <c r="B289" s="24" t="s">
        <v>481</v>
      </c>
      <c r="C289" s="24" t="s">
        <v>483</v>
      </c>
      <c r="D289" s="21" t="s">
        <v>73</v>
      </c>
      <c r="E289" s="24">
        <v>17</v>
      </c>
      <c r="F289" s="24">
        <v>1500</v>
      </c>
      <c r="G289" s="25">
        <f>546*1.05</f>
        <v>573.3</v>
      </c>
      <c r="H289" s="21">
        <f t="shared" si="16"/>
        <v>25500</v>
      </c>
      <c r="I289" s="33">
        <f t="shared" si="17"/>
        <v>9746.1</v>
      </c>
      <c r="J289" s="21" t="s">
        <v>58</v>
      </c>
    </row>
    <row r="290" ht="45" spans="1:10">
      <c r="A290" s="21">
        <v>71</v>
      </c>
      <c r="B290" s="24" t="s">
        <v>484</v>
      </c>
      <c r="C290" s="24" t="s">
        <v>485</v>
      </c>
      <c r="D290" s="21" t="s">
        <v>73</v>
      </c>
      <c r="E290" s="24">
        <v>17</v>
      </c>
      <c r="F290" s="24">
        <v>3150</v>
      </c>
      <c r="G290" s="25">
        <v>2080</v>
      </c>
      <c r="H290" s="21">
        <f t="shared" si="16"/>
        <v>53550</v>
      </c>
      <c r="I290" s="33">
        <f t="shared" si="17"/>
        <v>35360</v>
      </c>
      <c r="J290" s="21" t="s">
        <v>406</v>
      </c>
    </row>
    <row r="291" ht="22.5" spans="1:10">
      <c r="A291" s="21">
        <v>72</v>
      </c>
      <c r="B291" s="24" t="s">
        <v>486</v>
      </c>
      <c r="C291" s="24" t="s">
        <v>487</v>
      </c>
      <c r="D291" s="21" t="s">
        <v>13</v>
      </c>
      <c r="E291" s="24">
        <v>2</v>
      </c>
      <c r="F291" s="24">
        <v>2700</v>
      </c>
      <c r="G291" s="25">
        <f>1560*1.05</f>
        <v>1638</v>
      </c>
      <c r="H291" s="21">
        <f t="shared" si="16"/>
        <v>5400</v>
      </c>
      <c r="I291" s="33">
        <f t="shared" si="17"/>
        <v>3276</v>
      </c>
      <c r="J291" s="21" t="s">
        <v>58</v>
      </c>
    </row>
    <row r="292" ht="22.5" spans="1:10">
      <c r="A292" s="21">
        <v>73</v>
      </c>
      <c r="B292" s="24" t="s">
        <v>488</v>
      </c>
      <c r="C292" s="24" t="s">
        <v>489</v>
      </c>
      <c r="D292" s="21" t="s">
        <v>13</v>
      </c>
      <c r="E292" s="24">
        <v>1</v>
      </c>
      <c r="F292" s="24">
        <v>3050</v>
      </c>
      <c r="G292" s="25">
        <f>2140*1.05</f>
        <v>2247</v>
      </c>
      <c r="H292" s="21">
        <f t="shared" si="16"/>
        <v>3050</v>
      </c>
      <c r="I292" s="33">
        <f t="shared" si="17"/>
        <v>2247</v>
      </c>
      <c r="J292" s="21" t="s">
        <v>58</v>
      </c>
    </row>
    <row r="293" ht="12.75" spans="1:10">
      <c r="A293" s="21">
        <v>74</v>
      </c>
      <c r="B293" s="24" t="s">
        <v>490</v>
      </c>
      <c r="C293" s="24" t="s">
        <v>491</v>
      </c>
      <c r="D293" s="21" t="s">
        <v>13</v>
      </c>
      <c r="E293" s="24">
        <v>1</v>
      </c>
      <c r="F293" s="24">
        <v>3800</v>
      </c>
      <c r="G293" s="25">
        <f>1860/1.13</f>
        <v>1646.01769911504</v>
      </c>
      <c r="H293" s="21">
        <f t="shared" si="16"/>
        <v>3800</v>
      </c>
      <c r="I293" s="33">
        <f t="shared" si="17"/>
        <v>1646.01769911504</v>
      </c>
      <c r="J293" s="21" t="s">
        <v>58</v>
      </c>
    </row>
    <row r="294" ht="12.75" spans="1:10">
      <c r="A294" s="21">
        <v>75</v>
      </c>
      <c r="B294" s="24" t="s">
        <v>492</v>
      </c>
      <c r="C294" s="24"/>
      <c r="D294" s="21" t="s">
        <v>13</v>
      </c>
      <c r="E294" s="24">
        <v>1</v>
      </c>
      <c r="F294" s="24">
        <v>2600</v>
      </c>
      <c r="G294" s="25">
        <f>1896/1.13</f>
        <v>1677.87610619469</v>
      </c>
      <c r="H294" s="21">
        <f t="shared" si="16"/>
        <v>2600</v>
      </c>
      <c r="I294" s="33">
        <f t="shared" si="17"/>
        <v>1677.87610619469</v>
      </c>
      <c r="J294" s="21" t="s">
        <v>58</v>
      </c>
    </row>
    <row r="295" ht="12.75" spans="1:10">
      <c r="A295" s="21">
        <v>76</v>
      </c>
      <c r="B295" s="24" t="s">
        <v>493</v>
      </c>
      <c r="C295" s="24" t="s">
        <v>494</v>
      </c>
      <c r="D295" s="21" t="s">
        <v>13</v>
      </c>
      <c r="E295" s="24">
        <v>1</v>
      </c>
      <c r="F295" s="24">
        <v>5280</v>
      </c>
      <c r="G295" s="25">
        <f>3900/1.13</f>
        <v>3451.32743362832</v>
      </c>
      <c r="H295" s="21">
        <f t="shared" si="16"/>
        <v>5280</v>
      </c>
      <c r="I295" s="33">
        <f t="shared" si="17"/>
        <v>3451.32743362832</v>
      </c>
      <c r="J295" s="21" t="s">
        <v>58</v>
      </c>
    </row>
    <row r="296" ht="22.5" spans="1:10">
      <c r="A296" s="21">
        <v>77</v>
      </c>
      <c r="B296" s="24" t="s">
        <v>495</v>
      </c>
      <c r="C296" s="24" t="s">
        <v>496</v>
      </c>
      <c r="D296" s="21" t="s">
        <v>13</v>
      </c>
      <c r="E296" s="24">
        <v>95</v>
      </c>
      <c r="F296" s="24">
        <v>128</v>
      </c>
      <c r="G296" s="25">
        <f>138/1.13</f>
        <v>122.12389380531</v>
      </c>
      <c r="H296" s="21">
        <f t="shared" si="16"/>
        <v>12160</v>
      </c>
      <c r="I296" s="33">
        <f t="shared" si="17"/>
        <v>11601.7699115044</v>
      </c>
      <c r="J296" s="21" t="s">
        <v>58</v>
      </c>
    </row>
    <row r="297" ht="22.5" spans="1:10">
      <c r="A297" s="21">
        <v>78</v>
      </c>
      <c r="B297" s="24" t="s">
        <v>149</v>
      </c>
      <c r="C297" s="24" t="s">
        <v>497</v>
      </c>
      <c r="D297" s="21" t="s">
        <v>13</v>
      </c>
      <c r="E297" s="24">
        <v>50</v>
      </c>
      <c r="F297" s="24">
        <v>98</v>
      </c>
      <c r="G297" s="25">
        <f>85/1.13</f>
        <v>75.2212389380531</v>
      </c>
      <c r="H297" s="21">
        <f t="shared" si="16"/>
        <v>4900</v>
      </c>
      <c r="I297" s="33">
        <f t="shared" si="17"/>
        <v>3761.06194690266</v>
      </c>
      <c r="J297" s="21" t="s">
        <v>58</v>
      </c>
    </row>
    <row r="298" ht="12.75" spans="1:10">
      <c r="A298" s="21">
        <v>79</v>
      </c>
      <c r="B298" s="24" t="s">
        <v>140</v>
      </c>
      <c r="C298" s="24" t="s">
        <v>498</v>
      </c>
      <c r="D298" s="21" t="s">
        <v>73</v>
      </c>
      <c r="E298" s="24">
        <v>4</v>
      </c>
      <c r="F298" s="24">
        <v>230</v>
      </c>
      <c r="G298" s="25">
        <f>240*0+230</f>
        <v>230</v>
      </c>
      <c r="H298" s="21">
        <f t="shared" si="16"/>
        <v>920</v>
      </c>
      <c r="I298" s="33">
        <f t="shared" si="17"/>
        <v>920</v>
      </c>
      <c r="J298" s="21" t="s">
        <v>58</v>
      </c>
    </row>
    <row r="299" ht="33.75" spans="1:10">
      <c r="A299" s="21">
        <v>80</v>
      </c>
      <c r="B299" s="24" t="s">
        <v>499</v>
      </c>
      <c r="C299" s="24" t="s">
        <v>500</v>
      </c>
      <c r="D299" s="21" t="s">
        <v>13</v>
      </c>
      <c r="E299" s="24">
        <v>2</v>
      </c>
      <c r="F299" s="24">
        <v>1350</v>
      </c>
      <c r="G299" s="25">
        <f>1080/1.13</f>
        <v>955.752212389381</v>
      </c>
      <c r="H299" s="21">
        <f t="shared" si="16"/>
        <v>2700</v>
      </c>
      <c r="I299" s="33">
        <f t="shared" si="17"/>
        <v>1911.50442477876</v>
      </c>
      <c r="J299" s="21" t="s">
        <v>406</v>
      </c>
    </row>
    <row r="300" ht="33.75" spans="1:10">
      <c r="A300" s="21">
        <v>81</v>
      </c>
      <c r="B300" s="24" t="s">
        <v>501</v>
      </c>
      <c r="C300" s="24" t="s">
        <v>502</v>
      </c>
      <c r="D300" s="21" t="s">
        <v>13</v>
      </c>
      <c r="E300" s="24">
        <v>48</v>
      </c>
      <c r="F300" s="24">
        <v>750</v>
      </c>
      <c r="G300" s="25">
        <v>514</v>
      </c>
      <c r="H300" s="21">
        <f t="shared" si="16"/>
        <v>36000</v>
      </c>
      <c r="I300" s="33">
        <f t="shared" si="17"/>
        <v>24672</v>
      </c>
      <c r="J300" s="21" t="s">
        <v>406</v>
      </c>
    </row>
    <row r="301" ht="22.5" spans="1:10">
      <c r="A301" s="21">
        <v>82</v>
      </c>
      <c r="B301" s="24" t="s">
        <v>503</v>
      </c>
      <c r="C301" s="24" t="s">
        <v>504</v>
      </c>
      <c r="D301" s="21" t="s">
        <v>13</v>
      </c>
      <c r="E301" s="24">
        <v>1</v>
      </c>
      <c r="F301" s="24">
        <v>5800</v>
      </c>
      <c r="G301" s="25">
        <v>3982</v>
      </c>
      <c r="H301" s="21">
        <f t="shared" si="16"/>
        <v>5800</v>
      </c>
      <c r="I301" s="33">
        <f t="shared" si="17"/>
        <v>3982</v>
      </c>
      <c r="J301" s="21" t="s">
        <v>406</v>
      </c>
    </row>
    <row r="302" ht="22.5" spans="1:10">
      <c r="A302" s="21">
        <v>83</v>
      </c>
      <c r="B302" s="24" t="s">
        <v>503</v>
      </c>
      <c r="C302" s="24" t="s">
        <v>505</v>
      </c>
      <c r="D302" s="21" t="s">
        <v>13</v>
      </c>
      <c r="E302" s="24">
        <v>1</v>
      </c>
      <c r="F302" s="24">
        <v>5800</v>
      </c>
      <c r="G302" s="25">
        <v>5575</v>
      </c>
      <c r="H302" s="21">
        <f t="shared" si="16"/>
        <v>5800</v>
      </c>
      <c r="I302" s="33">
        <f t="shared" si="17"/>
        <v>5575</v>
      </c>
      <c r="J302" s="21" t="s">
        <v>406</v>
      </c>
    </row>
    <row r="303" ht="22.5" spans="1:10">
      <c r="A303" s="21">
        <v>84</v>
      </c>
      <c r="B303" s="24" t="s">
        <v>506</v>
      </c>
      <c r="C303" s="24" t="s">
        <v>507</v>
      </c>
      <c r="D303" s="21" t="s">
        <v>13</v>
      </c>
      <c r="E303" s="24">
        <v>1</v>
      </c>
      <c r="F303" s="24">
        <v>1350</v>
      </c>
      <c r="G303" s="25">
        <v>1350</v>
      </c>
      <c r="H303" s="21">
        <f t="shared" si="16"/>
        <v>1350</v>
      </c>
      <c r="I303" s="33">
        <f t="shared" si="17"/>
        <v>1350</v>
      </c>
      <c r="J303" s="21" t="s">
        <v>58</v>
      </c>
    </row>
    <row r="304" ht="22.5" spans="1:10">
      <c r="A304" s="21">
        <v>85</v>
      </c>
      <c r="B304" s="24" t="s">
        <v>506</v>
      </c>
      <c r="C304" s="24" t="s">
        <v>508</v>
      </c>
      <c r="D304" s="21" t="s">
        <v>13</v>
      </c>
      <c r="E304" s="24">
        <v>1</v>
      </c>
      <c r="F304" s="24">
        <v>1550</v>
      </c>
      <c r="G304" s="25">
        <f>3500/1.13</f>
        <v>3097.34513274336</v>
      </c>
      <c r="H304" s="21">
        <f t="shared" si="16"/>
        <v>1550</v>
      </c>
      <c r="I304" s="33">
        <f t="shared" si="17"/>
        <v>3097.34513274336</v>
      </c>
      <c r="J304" s="21" t="s">
        <v>58</v>
      </c>
    </row>
    <row r="305" ht="22.5" spans="1:10">
      <c r="A305" s="21">
        <v>86</v>
      </c>
      <c r="B305" s="24" t="s">
        <v>509</v>
      </c>
      <c r="C305" s="24" t="s">
        <v>510</v>
      </c>
      <c r="D305" s="21" t="s">
        <v>13</v>
      </c>
      <c r="E305" s="24">
        <v>3</v>
      </c>
      <c r="F305" s="24">
        <v>2800</v>
      </c>
      <c r="G305" s="25">
        <f>2300/1.13</f>
        <v>2035.3982300885</v>
      </c>
      <c r="H305" s="21">
        <f t="shared" si="16"/>
        <v>8400</v>
      </c>
      <c r="I305" s="33">
        <f t="shared" si="17"/>
        <v>6106.19469026549</v>
      </c>
      <c r="J305" s="21" t="s">
        <v>58</v>
      </c>
    </row>
    <row r="306" ht="12.75" spans="1:10">
      <c r="A306" s="21">
        <v>87</v>
      </c>
      <c r="B306" s="24" t="s">
        <v>511</v>
      </c>
      <c r="C306" s="24" t="s">
        <v>512</v>
      </c>
      <c r="D306" s="21" t="s">
        <v>13</v>
      </c>
      <c r="E306" s="24">
        <v>9</v>
      </c>
      <c r="F306" s="24">
        <v>2700</v>
      </c>
      <c r="G306" s="25">
        <f>2100/1.13</f>
        <v>1858.40707964602</v>
      </c>
      <c r="H306" s="21">
        <f t="shared" si="16"/>
        <v>24300</v>
      </c>
      <c r="I306" s="33">
        <f t="shared" si="17"/>
        <v>16725.6637168142</v>
      </c>
      <c r="J306" s="21" t="s">
        <v>58</v>
      </c>
    </row>
    <row r="307" ht="12.75" spans="1:10">
      <c r="A307" s="21">
        <v>88</v>
      </c>
      <c r="B307" s="24" t="s">
        <v>513</v>
      </c>
      <c r="C307" s="24" t="s">
        <v>514</v>
      </c>
      <c r="D307" s="21" t="s">
        <v>13</v>
      </c>
      <c r="E307" s="24">
        <v>2</v>
      </c>
      <c r="F307" s="24">
        <v>4400</v>
      </c>
      <c r="G307" s="25">
        <f>4852/1.13</f>
        <v>4293.80530973451</v>
      </c>
      <c r="H307" s="21">
        <f t="shared" si="16"/>
        <v>8800</v>
      </c>
      <c r="I307" s="33">
        <f t="shared" si="17"/>
        <v>8587.61061946903</v>
      </c>
      <c r="J307" s="21" t="s">
        <v>58</v>
      </c>
    </row>
    <row r="308" ht="12.75" spans="1:10">
      <c r="A308" s="21">
        <v>89</v>
      </c>
      <c r="B308" s="24" t="s">
        <v>515</v>
      </c>
      <c r="C308" s="24" t="s">
        <v>516</v>
      </c>
      <c r="D308" s="21" t="s">
        <v>13</v>
      </c>
      <c r="E308" s="24">
        <v>40</v>
      </c>
      <c r="F308" s="24">
        <v>270</v>
      </c>
      <c r="G308" s="25">
        <f>286/1.13</f>
        <v>253.097345132743</v>
      </c>
      <c r="H308" s="21">
        <f t="shared" si="16"/>
        <v>10800</v>
      </c>
      <c r="I308" s="33">
        <f t="shared" si="17"/>
        <v>10123.8938053097</v>
      </c>
      <c r="J308" s="21" t="s">
        <v>58</v>
      </c>
    </row>
    <row r="309" ht="22.5" spans="1:10">
      <c r="A309" s="21">
        <v>90</v>
      </c>
      <c r="B309" s="24" t="s">
        <v>517</v>
      </c>
      <c r="C309" s="24" t="s">
        <v>518</v>
      </c>
      <c r="D309" s="21" t="s">
        <v>13</v>
      </c>
      <c r="E309" s="24">
        <v>5</v>
      </c>
      <c r="F309" s="24">
        <v>880</v>
      </c>
      <c r="G309" s="25">
        <f>750/1.13</f>
        <v>663.716814159292</v>
      </c>
      <c r="H309" s="21">
        <f t="shared" si="16"/>
        <v>4400</v>
      </c>
      <c r="I309" s="33">
        <f t="shared" si="17"/>
        <v>3318.58407079646</v>
      </c>
      <c r="J309" s="21" t="s">
        <v>58</v>
      </c>
    </row>
    <row r="310" ht="12.75" spans="1:10">
      <c r="A310" s="21">
        <v>91</v>
      </c>
      <c r="B310" s="24" t="s">
        <v>519</v>
      </c>
      <c r="C310" s="24" t="s">
        <v>520</v>
      </c>
      <c r="D310" s="21" t="s">
        <v>13</v>
      </c>
      <c r="E310" s="24">
        <v>1</v>
      </c>
      <c r="F310" s="24">
        <v>2100</v>
      </c>
      <c r="G310" s="25">
        <f>2195/1.13*1.05</f>
        <v>2039.6017699115</v>
      </c>
      <c r="H310" s="21">
        <f t="shared" si="16"/>
        <v>2100</v>
      </c>
      <c r="I310" s="33">
        <f t="shared" si="17"/>
        <v>2039.6017699115</v>
      </c>
      <c r="J310" s="21" t="s">
        <v>58</v>
      </c>
    </row>
    <row r="311" ht="12.75" spans="1:10">
      <c r="A311" s="21">
        <v>92</v>
      </c>
      <c r="B311" s="24" t="s">
        <v>519</v>
      </c>
      <c r="C311" s="24" t="s">
        <v>521</v>
      </c>
      <c r="D311" s="21" t="s">
        <v>13</v>
      </c>
      <c r="E311" s="24">
        <v>2</v>
      </c>
      <c r="F311" s="24">
        <v>1650</v>
      </c>
      <c r="G311" s="25">
        <f>1650/1.13*1.05</f>
        <v>1533.18584070796</v>
      </c>
      <c r="H311" s="21">
        <f t="shared" si="16"/>
        <v>3300</v>
      </c>
      <c r="I311" s="33">
        <f t="shared" si="17"/>
        <v>3066.37168141593</v>
      </c>
      <c r="J311" s="21" t="s">
        <v>58</v>
      </c>
    </row>
    <row r="312" ht="12.75" spans="1:10">
      <c r="A312" s="21">
        <v>93</v>
      </c>
      <c r="B312" s="24" t="s">
        <v>522</v>
      </c>
      <c r="C312" s="24" t="s">
        <v>523</v>
      </c>
      <c r="D312" s="21" t="s">
        <v>13</v>
      </c>
      <c r="E312" s="24">
        <v>1</v>
      </c>
      <c r="F312" s="24">
        <v>1600</v>
      </c>
      <c r="G312" s="25">
        <v>1600</v>
      </c>
      <c r="H312" s="21">
        <f t="shared" si="16"/>
        <v>1600</v>
      </c>
      <c r="I312" s="33">
        <f t="shared" si="17"/>
        <v>1600</v>
      </c>
      <c r="J312" s="21" t="s">
        <v>58</v>
      </c>
    </row>
    <row r="313" ht="12.75" spans="1:10">
      <c r="A313" s="21">
        <v>94</v>
      </c>
      <c r="B313" s="24" t="s">
        <v>172</v>
      </c>
      <c r="C313" s="24" t="s">
        <v>173</v>
      </c>
      <c r="D313" s="21" t="s">
        <v>13</v>
      </c>
      <c r="E313" s="24">
        <v>1</v>
      </c>
      <c r="F313" s="24">
        <v>1800</v>
      </c>
      <c r="G313" s="25">
        <v>1800</v>
      </c>
      <c r="H313" s="21">
        <f t="shared" si="16"/>
        <v>1800</v>
      </c>
      <c r="I313" s="33">
        <f t="shared" si="17"/>
        <v>1800</v>
      </c>
      <c r="J313" s="21" t="s">
        <v>58</v>
      </c>
    </row>
    <row r="314" ht="12.75" spans="1:10">
      <c r="A314" s="21">
        <v>95</v>
      </c>
      <c r="B314" s="24" t="s">
        <v>524</v>
      </c>
      <c r="C314" s="24" t="s">
        <v>523</v>
      </c>
      <c r="D314" s="21" t="s">
        <v>13</v>
      </c>
      <c r="E314" s="24">
        <v>1</v>
      </c>
      <c r="F314" s="24">
        <v>2000</v>
      </c>
      <c r="G314" s="25">
        <v>2000</v>
      </c>
      <c r="H314" s="21">
        <f t="shared" si="16"/>
        <v>2000</v>
      </c>
      <c r="I314" s="33">
        <f t="shared" si="17"/>
        <v>2000</v>
      </c>
      <c r="J314" s="21" t="s">
        <v>58</v>
      </c>
    </row>
    <row r="315" ht="12.75" spans="1:10">
      <c r="A315" s="21">
        <v>96</v>
      </c>
      <c r="B315" s="24" t="s">
        <v>525</v>
      </c>
      <c r="C315" s="24" t="s">
        <v>173</v>
      </c>
      <c r="D315" s="21" t="s">
        <v>13</v>
      </c>
      <c r="E315" s="24">
        <v>1</v>
      </c>
      <c r="F315" s="24">
        <v>2000</v>
      </c>
      <c r="G315" s="25">
        <v>2200</v>
      </c>
      <c r="H315" s="21">
        <f t="shared" si="16"/>
        <v>2000</v>
      </c>
      <c r="I315" s="33">
        <f t="shared" si="17"/>
        <v>2200</v>
      </c>
      <c r="J315" s="21" t="s">
        <v>58</v>
      </c>
    </row>
    <row r="316" ht="22.5" spans="1:10">
      <c r="A316" s="21">
        <v>97</v>
      </c>
      <c r="B316" s="24" t="s">
        <v>526</v>
      </c>
      <c r="C316" s="24" t="s">
        <v>527</v>
      </c>
      <c r="D316" s="21" t="s">
        <v>154</v>
      </c>
      <c r="E316" s="24">
        <v>2</v>
      </c>
      <c r="F316" s="24">
        <v>45500</v>
      </c>
      <c r="G316" s="25">
        <v>20700</v>
      </c>
      <c r="H316" s="21">
        <f t="shared" si="16"/>
        <v>91000</v>
      </c>
      <c r="I316" s="33">
        <f t="shared" si="17"/>
        <v>41400</v>
      </c>
      <c r="J316" s="21" t="s">
        <v>406</v>
      </c>
    </row>
    <row r="317" ht="12.75" spans="1:10">
      <c r="A317" s="21">
        <v>99</v>
      </c>
      <c r="B317" s="24" t="s">
        <v>528</v>
      </c>
      <c r="C317" s="24"/>
      <c r="D317" s="21" t="s">
        <v>13</v>
      </c>
      <c r="E317" s="24">
        <v>3</v>
      </c>
      <c r="F317" s="24">
        <v>3800</v>
      </c>
      <c r="G317" s="25">
        <f>3150/1.13</f>
        <v>2787.61061946903</v>
      </c>
      <c r="H317" s="21">
        <f t="shared" si="16"/>
        <v>11400</v>
      </c>
      <c r="I317" s="33">
        <f t="shared" si="17"/>
        <v>8362.83185840708</v>
      </c>
      <c r="J317" s="21" t="s">
        <v>58</v>
      </c>
    </row>
    <row r="318" ht="12.75" spans="1:10">
      <c r="A318" s="21">
        <v>100</v>
      </c>
      <c r="B318" s="24" t="s">
        <v>529</v>
      </c>
      <c r="C318" s="24"/>
      <c r="D318" s="21" t="s">
        <v>13</v>
      </c>
      <c r="E318" s="24">
        <v>2</v>
      </c>
      <c r="F318" s="24">
        <v>1420</v>
      </c>
      <c r="G318" s="25">
        <v>1420</v>
      </c>
      <c r="H318" s="21">
        <f t="shared" si="16"/>
        <v>2840</v>
      </c>
      <c r="I318" s="33">
        <f t="shared" si="17"/>
        <v>2840</v>
      </c>
      <c r="J318" s="21" t="s">
        <v>58</v>
      </c>
    </row>
    <row r="319" ht="78.75" spans="1:10">
      <c r="A319" s="21">
        <v>101</v>
      </c>
      <c r="B319" s="24" t="s">
        <v>530</v>
      </c>
      <c r="C319" s="86" t="s">
        <v>531</v>
      </c>
      <c r="D319" s="21" t="s">
        <v>73</v>
      </c>
      <c r="E319" s="24">
        <v>231</v>
      </c>
      <c r="F319" s="24">
        <v>510</v>
      </c>
      <c r="G319" s="25">
        <v>487</v>
      </c>
      <c r="H319" s="21">
        <f t="shared" si="16"/>
        <v>117810</v>
      </c>
      <c r="I319" s="33">
        <f t="shared" si="17"/>
        <v>112497</v>
      </c>
      <c r="J319" s="21" t="s">
        <v>406</v>
      </c>
    </row>
    <row r="320" ht="78.75" spans="1:10">
      <c r="A320" s="21">
        <v>102</v>
      </c>
      <c r="B320" s="24" t="s">
        <v>532</v>
      </c>
      <c r="C320" s="86" t="s">
        <v>533</v>
      </c>
      <c r="D320" s="21" t="s">
        <v>169</v>
      </c>
      <c r="E320" s="24">
        <v>110</v>
      </c>
      <c r="F320" s="24">
        <v>600</v>
      </c>
      <c r="G320" s="25">
        <f>380/1.13</f>
        <v>336.283185840708</v>
      </c>
      <c r="H320" s="21">
        <f t="shared" si="16"/>
        <v>66000</v>
      </c>
      <c r="I320" s="33">
        <f t="shared" si="17"/>
        <v>36991.1504424779</v>
      </c>
      <c r="J320" s="21" t="s">
        <v>58</v>
      </c>
    </row>
    <row r="321" ht="22.5" spans="1:10">
      <c r="A321" s="21">
        <v>103</v>
      </c>
      <c r="B321" s="24" t="s">
        <v>534</v>
      </c>
      <c r="C321" s="24" t="s">
        <v>535</v>
      </c>
      <c r="D321" s="21" t="s">
        <v>169</v>
      </c>
      <c r="E321" s="24">
        <v>285</v>
      </c>
      <c r="F321" s="24">
        <v>25</v>
      </c>
      <c r="G321" s="36">
        <v>12.74</v>
      </c>
      <c r="H321" s="21">
        <f t="shared" si="16"/>
        <v>7125</v>
      </c>
      <c r="I321" s="33">
        <f t="shared" si="17"/>
        <v>3630.9</v>
      </c>
      <c r="J321" s="21" t="s">
        <v>406</v>
      </c>
    </row>
    <row r="322" ht="22.5" spans="1:10">
      <c r="A322" s="21">
        <v>104</v>
      </c>
      <c r="B322" s="24" t="s">
        <v>534</v>
      </c>
      <c r="C322" s="24" t="s">
        <v>536</v>
      </c>
      <c r="D322" s="21" t="s">
        <v>169</v>
      </c>
      <c r="E322" s="24">
        <v>215</v>
      </c>
      <c r="F322" s="24">
        <v>27</v>
      </c>
      <c r="G322" s="36">
        <v>16.38</v>
      </c>
      <c r="H322" s="21">
        <f t="shared" si="16"/>
        <v>5805</v>
      </c>
      <c r="I322" s="33">
        <f t="shared" si="17"/>
        <v>3521.7</v>
      </c>
      <c r="J322" s="21" t="s">
        <v>406</v>
      </c>
    </row>
    <row r="323" ht="22.5" spans="1:10">
      <c r="A323" s="21">
        <v>105</v>
      </c>
      <c r="B323" s="24" t="s">
        <v>534</v>
      </c>
      <c r="C323" s="24" t="s">
        <v>537</v>
      </c>
      <c r="D323" s="21" t="s">
        <v>169</v>
      </c>
      <c r="E323" s="24">
        <v>310</v>
      </c>
      <c r="F323" s="24">
        <v>33</v>
      </c>
      <c r="G323" s="36">
        <v>19.96</v>
      </c>
      <c r="H323" s="21">
        <f t="shared" si="16"/>
        <v>10230</v>
      </c>
      <c r="I323" s="33">
        <f t="shared" si="17"/>
        <v>6187.6</v>
      </c>
      <c r="J323" s="21" t="s">
        <v>406</v>
      </c>
    </row>
    <row r="324" ht="22.5" spans="1:10">
      <c r="A324" s="21">
        <v>106</v>
      </c>
      <c r="B324" s="24" t="s">
        <v>534</v>
      </c>
      <c r="C324" s="24" t="s">
        <v>538</v>
      </c>
      <c r="D324" s="21" t="s">
        <v>169</v>
      </c>
      <c r="E324" s="24">
        <v>105</v>
      </c>
      <c r="F324" s="24">
        <v>38</v>
      </c>
      <c r="G324" s="87">
        <v>31.2</v>
      </c>
      <c r="H324" s="21">
        <f t="shared" si="16"/>
        <v>3990</v>
      </c>
      <c r="I324" s="33">
        <f t="shared" si="17"/>
        <v>3276</v>
      </c>
      <c r="J324" s="21" t="s">
        <v>406</v>
      </c>
    </row>
    <row r="325" ht="22.5" spans="1:10">
      <c r="A325" s="21">
        <v>107</v>
      </c>
      <c r="B325" s="24" t="s">
        <v>534</v>
      </c>
      <c r="C325" s="24" t="s">
        <v>539</v>
      </c>
      <c r="D325" s="21" t="s">
        <v>169</v>
      </c>
      <c r="E325" s="24">
        <v>70</v>
      </c>
      <c r="F325" s="24">
        <v>43</v>
      </c>
      <c r="G325" s="36">
        <v>43.56</v>
      </c>
      <c r="H325" s="21">
        <f t="shared" si="16"/>
        <v>3010</v>
      </c>
      <c r="I325" s="33">
        <f t="shared" si="17"/>
        <v>3049.2</v>
      </c>
      <c r="J325" s="21" t="s">
        <v>406</v>
      </c>
    </row>
    <row r="326" ht="22.5" spans="1:10">
      <c r="A326" s="21">
        <v>108</v>
      </c>
      <c r="B326" s="24" t="s">
        <v>534</v>
      </c>
      <c r="C326" s="24" t="s">
        <v>540</v>
      </c>
      <c r="D326" s="21" t="s">
        <v>169</v>
      </c>
      <c r="E326" s="24">
        <v>145</v>
      </c>
      <c r="F326" s="24">
        <v>58</v>
      </c>
      <c r="G326" s="36">
        <v>52.12</v>
      </c>
      <c r="H326" s="21">
        <f t="shared" si="16"/>
        <v>8410</v>
      </c>
      <c r="I326" s="33">
        <f t="shared" si="17"/>
        <v>7557.4</v>
      </c>
      <c r="J326" s="21" t="s">
        <v>406</v>
      </c>
    </row>
    <row r="327" ht="22.5" spans="1:10">
      <c r="A327" s="21">
        <v>109</v>
      </c>
      <c r="B327" s="24" t="s">
        <v>534</v>
      </c>
      <c r="C327" s="24" t="s">
        <v>541</v>
      </c>
      <c r="D327" s="21" t="s">
        <v>169</v>
      </c>
      <c r="E327" s="24">
        <v>30</v>
      </c>
      <c r="F327" s="24">
        <v>71</v>
      </c>
      <c r="G327" s="36">
        <v>69.12</v>
      </c>
      <c r="H327" s="21">
        <f t="shared" si="16"/>
        <v>2130</v>
      </c>
      <c r="I327" s="33">
        <f t="shared" si="17"/>
        <v>2073.6</v>
      </c>
      <c r="J327" s="21" t="s">
        <v>406</v>
      </c>
    </row>
    <row r="328" ht="22.5" spans="1:10">
      <c r="A328" s="21">
        <v>110</v>
      </c>
      <c r="B328" s="24" t="s">
        <v>534</v>
      </c>
      <c r="C328" s="24" t="s">
        <v>542</v>
      </c>
      <c r="D328" s="21" t="s">
        <v>169</v>
      </c>
      <c r="E328" s="24">
        <v>475</v>
      </c>
      <c r="F328" s="24">
        <v>92</v>
      </c>
      <c r="G328" s="36">
        <v>131.67</v>
      </c>
      <c r="H328" s="21">
        <f t="shared" si="16"/>
        <v>43700</v>
      </c>
      <c r="I328" s="33">
        <f t="shared" si="17"/>
        <v>62543.25</v>
      </c>
      <c r="J328" s="21" t="s">
        <v>406</v>
      </c>
    </row>
    <row r="329" ht="22.5" spans="1:10">
      <c r="A329" s="21">
        <v>111</v>
      </c>
      <c r="B329" s="24" t="s">
        <v>534</v>
      </c>
      <c r="C329" s="24" t="s">
        <v>543</v>
      </c>
      <c r="D329" s="21" t="s">
        <v>169</v>
      </c>
      <c r="E329" s="24">
        <v>80</v>
      </c>
      <c r="F329" s="24">
        <v>245</v>
      </c>
      <c r="G329" s="87">
        <v>174.5</v>
      </c>
      <c r="H329" s="21">
        <f t="shared" si="16"/>
        <v>19600</v>
      </c>
      <c r="I329" s="33">
        <f t="shared" si="17"/>
        <v>13960</v>
      </c>
      <c r="J329" s="21" t="s">
        <v>406</v>
      </c>
    </row>
    <row r="330" ht="22.5" spans="1:10">
      <c r="A330" s="21">
        <v>112</v>
      </c>
      <c r="B330" s="24" t="s">
        <v>534</v>
      </c>
      <c r="C330" s="24" t="s">
        <v>544</v>
      </c>
      <c r="D330" s="21" t="s">
        <v>169</v>
      </c>
      <c r="E330" s="24">
        <v>220</v>
      </c>
      <c r="F330" s="24">
        <v>415</v>
      </c>
      <c r="G330" s="87">
        <v>392.2</v>
      </c>
      <c r="H330" s="21">
        <f t="shared" si="16"/>
        <v>91300</v>
      </c>
      <c r="I330" s="33">
        <f t="shared" si="17"/>
        <v>86284</v>
      </c>
      <c r="J330" s="21" t="s">
        <v>406</v>
      </c>
    </row>
    <row r="331" ht="22.5" spans="1:10">
      <c r="A331" s="21">
        <v>113</v>
      </c>
      <c r="B331" s="24" t="s">
        <v>214</v>
      </c>
      <c r="C331" s="24" t="s">
        <v>215</v>
      </c>
      <c r="D331" s="21" t="s">
        <v>216</v>
      </c>
      <c r="E331" s="24">
        <v>4482.5</v>
      </c>
      <c r="F331" s="24">
        <v>169.53</v>
      </c>
      <c r="G331" s="36">
        <v>137.17</v>
      </c>
      <c r="H331" s="37">
        <f t="shared" ref="H331:H359" si="18">E331*F331</f>
        <v>759918.225</v>
      </c>
      <c r="I331" s="38">
        <f t="shared" ref="I331:I359" si="19">E331*G331</f>
        <v>614864.525</v>
      </c>
      <c r="J331" s="21" t="s">
        <v>406</v>
      </c>
    </row>
    <row r="332" ht="22.5" spans="1:10">
      <c r="A332" s="21">
        <v>114</v>
      </c>
      <c r="B332" s="24" t="s">
        <v>217</v>
      </c>
      <c r="C332" s="24" t="s">
        <v>215</v>
      </c>
      <c r="D332" s="21" t="s">
        <v>216</v>
      </c>
      <c r="E332" s="24">
        <v>654.5</v>
      </c>
      <c r="F332" s="24">
        <v>239.16</v>
      </c>
      <c r="G332" s="36">
        <v>199.12</v>
      </c>
      <c r="H332" s="37">
        <f t="shared" si="18"/>
        <v>156530.22</v>
      </c>
      <c r="I332" s="38">
        <f t="shared" si="19"/>
        <v>130324.04</v>
      </c>
      <c r="J332" s="21" t="s">
        <v>406</v>
      </c>
    </row>
    <row r="333" ht="22.5" spans="1:10">
      <c r="A333" s="21">
        <v>115</v>
      </c>
      <c r="B333" s="24" t="s">
        <v>248</v>
      </c>
      <c r="C333" s="24" t="s">
        <v>249</v>
      </c>
      <c r="D333" s="21" t="s">
        <v>216</v>
      </c>
      <c r="E333" s="24">
        <v>1533.06</v>
      </c>
      <c r="F333" s="24">
        <v>65.19</v>
      </c>
      <c r="G333" s="36">
        <v>65.19</v>
      </c>
      <c r="H333" s="36">
        <f t="shared" si="18"/>
        <v>99940.1814</v>
      </c>
      <c r="I333" s="36">
        <f t="shared" si="19"/>
        <v>99940.1814</v>
      </c>
      <c r="J333" s="21" t="s">
        <v>406</v>
      </c>
    </row>
    <row r="334" ht="22.5" spans="1:10">
      <c r="A334" s="21">
        <v>116</v>
      </c>
      <c r="B334" s="24" t="s">
        <v>250</v>
      </c>
      <c r="C334" s="24"/>
      <c r="D334" s="37" t="s">
        <v>216</v>
      </c>
      <c r="E334" s="24">
        <v>212.84</v>
      </c>
      <c r="F334" s="24">
        <v>320</v>
      </c>
      <c r="G334" s="25">
        <v>223</v>
      </c>
      <c r="H334" s="36">
        <f t="shared" si="18"/>
        <v>68108.8</v>
      </c>
      <c r="I334" s="36">
        <f t="shared" si="19"/>
        <v>47463.32</v>
      </c>
      <c r="J334" s="37" t="s">
        <v>406</v>
      </c>
    </row>
    <row r="335" ht="12.75" spans="1:10">
      <c r="A335" s="21">
        <v>117</v>
      </c>
      <c r="B335" s="24" t="s">
        <v>545</v>
      </c>
      <c r="C335" s="24" t="s">
        <v>546</v>
      </c>
      <c r="D335" s="37" t="s">
        <v>216</v>
      </c>
      <c r="E335" s="24">
        <v>2392.95</v>
      </c>
      <c r="F335" s="24">
        <v>100</v>
      </c>
      <c r="G335" s="25">
        <f>74/1.13*1.05</f>
        <v>68.7610619469027</v>
      </c>
      <c r="H335" s="36">
        <f t="shared" si="18"/>
        <v>239295</v>
      </c>
      <c r="I335" s="36">
        <f t="shared" si="19"/>
        <v>164541.783185841</v>
      </c>
      <c r="J335" s="37" t="s">
        <v>58</v>
      </c>
    </row>
    <row r="336" ht="12.75" spans="1:10">
      <c r="A336" s="21">
        <v>118</v>
      </c>
      <c r="B336" s="24" t="s">
        <v>547</v>
      </c>
      <c r="C336" s="24" t="s">
        <v>548</v>
      </c>
      <c r="D336" s="37" t="s">
        <v>216</v>
      </c>
      <c r="E336" s="24">
        <f>2042.282+101.316+61.66</f>
        <v>2205.258</v>
      </c>
      <c r="F336" s="24">
        <v>240</v>
      </c>
      <c r="G336" s="25">
        <f>145/1.13</f>
        <v>128.318584070796</v>
      </c>
      <c r="H336" s="36">
        <f t="shared" si="18"/>
        <v>529261.92</v>
      </c>
      <c r="I336" s="36">
        <f t="shared" si="19"/>
        <v>282975.584070796</v>
      </c>
      <c r="J336" s="37" t="s">
        <v>58</v>
      </c>
    </row>
    <row r="337" ht="22.5" spans="1:10">
      <c r="A337" s="21">
        <v>119</v>
      </c>
      <c r="B337" s="24" t="s">
        <v>231</v>
      </c>
      <c r="C337" s="24" t="s">
        <v>232</v>
      </c>
      <c r="D337" s="21" t="s">
        <v>13</v>
      </c>
      <c r="E337" s="24">
        <v>55</v>
      </c>
      <c r="F337" s="24">
        <v>7150</v>
      </c>
      <c r="G337" s="36">
        <v>4200</v>
      </c>
      <c r="H337" s="37">
        <f t="shared" si="18"/>
        <v>393250</v>
      </c>
      <c r="I337" s="39">
        <f t="shared" si="19"/>
        <v>231000</v>
      </c>
      <c r="J337" s="21" t="s">
        <v>406</v>
      </c>
    </row>
    <row r="338" ht="22.5" spans="1:10">
      <c r="A338" s="21">
        <v>120</v>
      </c>
      <c r="B338" s="24" t="s">
        <v>233</v>
      </c>
      <c r="C338" s="24" t="s">
        <v>234</v>
      </c>
      <c r="D338" s="21" t="s">
        <v>97</v>
      </c>
      <c r="E338" s="24">
        <v>18</v>
      </c>
      <c r="F338" s="24">
        <v>1800</v>
      </c>
      <c r="G338" s="36">
        <f>1500/1.13</f>
        <v>1327.43362831858</v>
      </c>
      <c r="H338" s="37">
        <f t="shared" si="18"/>
        <v>32400</v>
      </c>
      <c r="I338" s="39">
        <f t="shared" si="19"/>
        <v>23893.8053097345</v>
      </c>
      <c r="J338" s="21" t="s">
        <v>406</v>
      </c>
    </row>
    <row r="339" ht="22.5" spans="1:10">
      <c r="A339" s="21">
        <v>121</v>
      </c>
      <c r="B339" s="24" t="s">
        <v>235</v>
      </c>
      <c r="C339" s="24" t="s">
        <v>236</v>
      </c>
      <c r="D339" s="21" t="s">
        <v>97</v>
      </c>
      <c r="E339" s="24">
        <v>3</v>
      </c>
      <c r="F339" s="24">
        <v>23500</v>
      </c>
      <c r="G339" s="36">
        <v>12212.39</v>
      </c>
      <c r="H339" s="37">
        <f t="shared" si="18"/>
        <v>70500</v>
      </c>
      <c r="I339" s="39">
        <f t="shared" si="19"/>
        <v>36637.17</v>
      </c>
      <c r="J339" s="21" t="s">
        <v>406</v>
      </c>
    </row>
    <row r="340" ht="22.5" spans="1:10">
      <c r="A340" s="21">
        <v>122</v>
      </c>
      <c r="B340" s="24" t="s">
        <v>549</v>
      </c>
      <c r="C340" s="24" t="s">
        <v>236</v>
      </c>
      <c r="D340" s="21" t="s">
        <v>97</v>
      </c>
      <c r="E340" s="24">
        <v>3</v>
      </c>
      <c r="F340" s="24">
        <v>23500</v>
      </c>
      <c r="G340" s="36">
        <v>12212.39</v>
      </c>
      <c r="H340" s="37">
        <f t="shared" si="18"/>
        <v>70500</v>
      </c>
      <c r="I340" s="39">
        <f t="shared" si="19"/>
        <v>36637.17</v>
      </c>
      <c r="J340" s="21" t="s">
        <v>406</v>
      </c>
    </row>
    <row r="341" ht="22.5" spans="1:10">
      <c r="A341" s="21">
        <v>123</v>
      </c>
      <c r="B341" s="24" t="s">
        <v>220</v>
      </c>
      <c r="C341" s="24"/>
      <c r="D341" s="21" t="s">
        <v>197</v>
      </c>
      <c r="E341" s="24">
        <v>133.672</v>
      </c>
      <c r="F341" s="24">
        <v>1625</v>
      </c>
      <c r="G341" s="36">
        <v>1625</v>
      </c>
      <c r="H341" s="38">
        <f t="shared" si="18"/>
        <v>217217</v>
      </c>
      <c r="I341" s="38">
        <f t="shared" si="19"/>
        <v>217217</v>
      </c>
      <c r="J341" s="21" t="s">
        <v>406</v>
      </c>
    </row>
    <row r="342" ht="22.5" spans="1:10">
      <c r="A342" s="21">
        <v>124</v>
      </c>
      <c r="B342" s="24" t="s">
        <v>221</v>
      </c>
      <c r="C342" s="24" t="s">
        <v>550</v>
      </c>
      <c r="D342" s="21" t="s">
        <v>216</v>
      </c>
      <c r="E342" s="24">
        <v>877.21</v>
      </c>
      <c r="F342" s="24">
        <v>400</v>
      </c>
      <c r="G342" s="36">
        <v>194.69</v>
      </c>
      <c r="H342" s="37">
        <f t="shared" si="18"/>
        <v>350884</v>
      </c>
      <c r="I342" s="39">
        <f t="shared" si="19"/>
        <v>170784.0149</v>
      </c>
      <c r="J342" s="21" t="s">
        <v>406</v>
      </c>
    </row>
    <row r="343" ht="22.5" spans="1:10">
      <c r="A343" s="21">
        <v>125</v>
      </c>
      <c r="B343" s="24" t="s">
        <v>224</v>
      </c>
      <c r="C343" s="24"/>
      <c r="D343" s="21" t="s">
        <v>216</v>
      </c>
      <c r="E343" s="24">
        <v>802.795</v>
      </c>
      <c r="F343" s="24">
        <v>380</v>
      </c>
      <c r="G343" s="36">
        <v>380</v>
      </c>
      <c r="H343" s="37">
        <f t="shared" si="18"/>
        <v>305062.1</v>
      </c>
      <c r="I343" s="39">
        <f t="shared" si="19"/>
        <v>305062.1</v>
      </c>
      <c r="J343" s="21" t="s">
        <v>406</v>
      </c>
    </row>
    <row r="344" ht="22.5" spans="1:10">
      <c r="A344" s="21">
        <v>126</v>
      </c>
      <c r="B344" s="24" t="s">
        <v>551</v>
      </c>
      <c r="C344" s="24"/>
      <c r="D344" s="21" t="s">
        <v>216</v>
      </c>
      <c r="E344" s="24">
        <f>161.76+10.52+42.57</f>
        <v>214.85</v>
      </c>
      <c r="F344" s="24">
        <v>2000</v>
      </c>
      <c r="G344" s="36">
        <f>1755/1.13</f>
        <v>1553.09734513274</v>
      </c>
      <c r="H344" s="37">
        <f t="shared" si="18"/>
        <v>429700</v>
      </c>
      <c r="I344" s="39">
        <f t="shared" si="19"/>
        <v>333682.96460177</v>
      </c>
      <c r="J344" s="21" t="s">
        <v>406</v>
      </c>
    </row>
    <row r="345" ht="22.5" spans="1:10">
      <c r="A345" s="21">
        <v>127</v>
      </c>
      <c r="B345" s="24" t="s">
        <v>552</v>
      </c>
      <c r="C345" s="24" t="s">
        <v>553</v>
      </c>
      <c r="D345" s="37" t="s">
        <v>216</v>
      </c>
      <c r="E345" s="24">
        <v>2.1</v>
      </c>
      <c r="F345" s="24">
        <v>3200</v>
      </c>
      <c r="G345" s="36">
        <v>2553.1</v>
      </c>
      <c r="H345" s="37">
        <f t="shared" si="18"/>
        <v>6720</v>
      </c>
      <c r="I345" s="39">
        <f t="shared" si="19"/>
        <v>5361.51</v>
      </c>
      <c r="J345" s="37" t="s">
        <v>406</v>
      </c>
    </row>
    <row r="346" ht="12.75" spans="1:10">
      <c r="A346" s="21">
        <v>128</v>
      </c>
      <c r="B346" s="24" t="s">
        <v>554</v>
      </c>
      <c r="C346" s="24" t="s">
        <v>555</v>
      </c>
      <c r="D346" s="37" t="s">
        <v>216</v>
      </c>
      <c r="E346" s="24">
        <f>20*1.5*2.1</f>
        <v>63</v>
      </c>
      <c r="F346" s="36">
        <f>26800/(1.5*2.1)</f>
        <v>8507.93650793651</v>
      </c>
      <c r="G346" s="36">
        <f t="shared" ref="G346:G348" si="20">15600/3.15/1.13</f>
        <v>4382.6380109566</v>
      </c>
      <c r="H346" s="37">
        <f t="shared" si="18"/>
        <v>536000</v>
      </c>
      <c r="I346" s="39">
        <f t="shared" si="19"/>
        <v>276106.194690266</v>
      </c>
      <c r="J346" s="37" t="s">
        <v>58</v>
      </c>
    </row>
    <row r="347" ht="12.75" spans="1:10">
      <c r="A347" s="21">
        <v>129</v>
      </c>
      <c r="B347" s="24" t="s">
        <v>556</v>
      </c>
      <c r="C347" s="24" t="s">
        <v>555</v>
      </c>
      <c r="D347" s="37" t="s">
        <v>216</v>
      </c>
      <c r="E347" s="24">
        <f>2*1.5*2.1</f>
        <v>6.3</v>
      </c>
      <c r="F347" s="36">
        <f>32500/(1.5*2.1)</f>
        <v>10317.4603174603</v>
      </c>
      <c r="G347" s="36">
        <f t="shared" si="20"/>
        <v>4382.6380109566</v>
      </c>
      <c r="H347" s="38">
        <f t="shared" si="18"/>
        <v>65000</v>
      </c>
      <c r="I347" s="39">
        <f t="shared" si="19"/>
        <v>27610.6194690266</v>
      </c>
      <c r="J347" s="37" t="s">
        <v>58</v>
      </c>
    </row>
    <row r="348" ht="12.75" spans="1:10">
      <c r="A348" s="21">
        <v>130</v>
      </c>
      <c r="B348" s="24" t="s">
        <v>557</v>
      </c>
      <c r="C348" s="24" t="s">
        <v>558</v>
      </c>
      <c r="D348" s="37" t="s">
        <v>216</v>
      </c>
      <c r="E348" s="24">
        <v>12.6</v>
      </c>
      <c r="F348" s="36">
        <f>65000/(1.5*2.1)</f>
        <v>20634.9206349206</v>
      </c>
      <c r="G348" s="36">
        <f t="shared" si="20"/>
        <v>4382.6380109566</v>
      </c>
      <c r="H348" s="37">
        <f t="shared" si="18"/>
        <v>260000</v>
      </c>
      <c r="I348" s="39">
        <f t="shared" si="19"/>
        <v>55221.2389380531</v>
      </c>
      <c r="J348" s="37" t="s">
        <v>58</v>
      </c>
    </row>
    <row r="349" ht="12.75" spans="1:10">
      <c r="A349" s="21">
        <v>131</v>
      </c>
      <c r="B349" s="24" t="s">
        <v>559</v>
      </c>
      <c r="C349" s="24"/>
      <c r="D349" s="37" t="s">
        <v>335</v>
      </c>
      <c r="E349" s="24">
        <v>984.33</v>
      </c>
      <c r="F349" s="36">
        <v>10.54</v>
      </c>
      <c r="G349" s="36">
        <v>6.5</v>
      </c>
      <c r="H349" s="37">
        <f t="shared" si="18"/>
        <v>10374.8382</v>
      </c>
      <c r="I349" s="39">
        <f t="shared" si="19"/>
        <v>6398.145</v>
      </c>
      <c r="J349" s="37" t="s">
        <v>58</v>
      </c>
    </row>
    <row r="350" ht="204" spans="1:10">
      <c r="A350" s="88">
        <v>1</v>
      </c>
      <c r="B350" s="89" t="s">
        <v>560</v>
      </c>
      <c r="C350" s="89" t="s">
        <v>561</v>
      </c>
      <c r="D350" s="90" t="s">
        <v>13</v>
      </c>
      <c r="E350" s="90">
        <v>1</v>
      </c>
      <c r="F350" s="90">
        <v>61880</v>
      </c>
      <c r="G350" s="90">
        <v>56326</v>
      </c>
      <c r="H350" s="90">
        <f t="shared" si="18"/>
        <v>61880</v>
      </c>
      <c r="I350" s="90">
        <f t="shared" si="19"/>
        <v>56326</v>
      </c>
      <c r="J350" s="89" t="s">
        <v>562</v>
      </c>
    </row>
    <row r="351" ht="204" spans="1:10">
      <c r="A351" s="88">
        <v>2</v>
      </c>
      <c r="B351" s="89" t="s">
        <v>563</v>
      </c>
      <c r="C351" s="89" t="s">
        <v>564</v>
      </c>
      <c r="D351" s="90" t="s">
        <v>13</v>
      </c>
      <c r="E351" s="90">
        <v>1</v>
      </c>
      <c r="F351" s="90">
        <v>56550</v>
      </c>
      <c r="G351" s="90">
        <v>51994</v>
      </c>
      <c r="H351" s="90">
        <f t="shared" si="18"/>
        <v>56550</v>
      </c>
      <c r="I351" s="90">
        <f t="shared" si="19"/>
        <v>51994</v>
      </c>
      <c r="J351" s="89" t="s">
        <v>562</v>
      </c>
    </row>
    <row r="352" ht="240" spans="1:10">
      <c r="A352" s="88">
        <v>3</v>
      </c>
      <c r="B352" s="89" t="s">
        <v>565</v>
      </c>
      <c r="C352" s="89" t="s">
        <v>566</v>
      </c>
      <c r="D352" s="90" t="s">
        <v>13</v>
      </c>
      <c r="E352" s="90">
        <v>2</v>
      </c>
      <c r="F352" s="90">
        <v>82266.6</v>
      </c>
      <c r="G352" s="90">
        <v>51409</v>
      </c>
      <c r="H352" s="90">
        <f t="shared" si="18"/>
        <v>164533.2</v>
      </c>
      <c r="I352" s="90">
        <f t="shared" si="19"/>
        <v>102818</v>
      </c>
      <c r="J352" s="89" t="s">
        <v>567</v>
      </c>
    </row>
    <row r="353" ht="252" spans="1:10">
      <c r="A353" s="88">
        <v>4</v>
      </c>
      <c r="B353" s="89" t="s">
        <v>568</v>
      </c>
      <c r="C353" s="89" t="s">
        <v>569</v>
      </c>
      <c r="D353" s="90" t="s">
        <v>13</v>
      </c>
      <c r="E353" s="90">
        <v>1</v>
      </c>
      <c r="F353" s="90">
        <v>82266.6</v>
      </c>
      <c r="G353" s="90">
        <v>51409</v>
      </c>
      <c r="H353" s="90">
        <f t="shared" si="18"/>
        <v>82266.6</v>
      </c>
      <c r="I353" s="90">
        <f t="shared" si="19"/>
        <v>51409</v>
      </c>
      <c r="J353" s="89" t="s">
        <v>567</v>
      </c>
    </row>
    <row r="354" ht="24" spans="1:10">
      <c r="A354" s="88">
        <v>5</v>
      </c>
      <c r="B354" s="89" t="s">
        <v>570</v>
      </c>
      <c r="C354" s="89" t="s">
        <v>571</v>
      </c>
      <c r="D354" s="90" t="s">
        <v>13</v>
      </c>
      <c r="E354" s="89">
        <v>4</v>
      </c>
      <c r="F354" s="91">
        <v>6000</v>
      </c>
      <c r="G354" s="90">
        <v>6000</v>
      </c>
      <c r="H354" s="90">
        <f t="shared" si="18"/>
        <v>24000</v>
      </c>
      <c r="I354" s="90">
        <f t="shared" si="19"/>
        <v>24000</v>
      </c>
      <c r="J354" s="89"/>
    </row>
    <row r="355" ht="60" spans="1:10">
      <c r="A355" s="88">
        <v>6</v>
      </c>
      <c r="B355" s="89" t="s">
        <v>572</v>
      </c>
      <c r="C355" s="89" t="s">
        <v>573</v>
      </c>
      <c r="D355" s="89" t="s">
        <v>13</v>
      </c>
      <c r="E355" s="90">
        <v>1</v>
      </c>
      <c r="F355" s="91">
        <v>2924.35</v>
      </c>
      <c r="G355" s="90">
        <v>1970</v>
      </c>
      <c r="H355" s="90">
        <f t="shared" si="18"/>
        <v>2924.35</v>
      </c>
      <c r="I355" s="90">
        <f t="shared" si="19"/>
        <v>1970</v>
      </c>
      <c r="J355" s="89" t="s">
        <v>574</v>
      </c>
    </row>
    <row r="356" ht="132" spans="1:10">
      <c r="A356" s="88">
        <v>7</v>
      </c>
      <c r="B356" s="89" t="s">
        <v>575</v>
      </c>
      <c r="C356" s="89" t="s">
        <v>576</v>
      </c>
      <c r="D356" s="89" t="s">
        <v>577</v>
      </c>
      <c r="E356" s="90">
        <v>200000</v>
      </c>
      <c r="F356" s="90">
        <v>1.85</v>
      </c>
      <c r="G356" s="90">
        <v>1.85</v>
      </c>
      <c r="H356" s="90">
        <f t="shared" si="18"/>
        <v>370000</v>
      </c>
      <c r="I356" s="90">
        <f t="shared" si="19"/>
        <v>370000</v>
      </c>
      <c r="J356" s="89" t="s">
        <v>578</v>
      </c>
    </row>
    <row r="357" ht="132" spans="1:10">
      <c r="A357" s="88">
        <v>8</v>
      </c>
      <c r="B357" s="89"/>
      <c r="C357" s="89" t="s">
        <v>579</v>
      </c>
      <c r="D357" s="90" t="s">
        <v>580</v>
      </c>
      <c r="E357" s="90">
        <v>100000</v>
      </c>
      <c r="F357" s="90">
        <v>1.85</v>
      </c>
      <c r="G357" s="90">
        <v>1.85</v>
      </c>
      <c r="H357" s="90">
        <f t="shared" si="18"/>
        <v>185000</v>
      </c>
      <c r="I357" s="90">
        <f t="shared" si="19"/>
        <v>185000</v>
      </c>
      <c r="J357" s="89" t="s">
        <v>578</v>
      </c>
    </row>
    <row r="358" ht="132" spans="1:10">
      <c r="A358" s="88">
        <v>9</v>
      </c>
      <c r="B358" s="89"/>
      <c r="C358" s="89" t="s">
        <v>581</v>
      </c>
      <c r="D358" s="89" t="s">
        <v>582</v>
      </c>
      <c r="E358" s="90">
        <v>300000</v>
      </c>
      <c r="F358" s="90">
        <v>2.6875</v>
      </c>
      <c r="G358" s="90">
        <v>2.6875</v>
      </c>
      <c r="H358" s="90">
        <f t="shared" si="18"/>
        <v>806250</v>
      </c>
      <c r="I358" s="90">
        <f t="shared" si="19"/>
        <v>806250</v>
      </c>
      <c r="J358" s="89" t="s">
        <v>578</v>
      </c>
    </row>
    <row r="359" ht="36" spans="1:10">
      <c r="A359" s="88">
        <v>10</v>
      </c>
      <c r="B359" s="89"/>
      <c r="C359" s="89" t="s">
        <v>583</v>
      </c>
      <c r="D359" s="90" t="s">
        <v>97</v>
      </c>
      <c r="E359" s="90">
        <v>1</v>
      </c>
      <c r="F359" s="90">
        <v>415500</v>
      </c>
      <c r="G359" s="90">
        <v>218768</v>
      </c>
      <c r="H359" s="90">
        <f t="shared" si="18"/>
        <v>415500</v>
      </c>
      <c r="I359" s="90">
        <f t="shared" si="19"/>
        <v>218768</v>
      </c>
      <c r="J359" s="89"/>
    </row>
    <row r="360" ht="13.5" spans="1:10">
      <c r="A360" s="64">
        <v>1</v>
      </c>
      <c r="B360" s="92" t="s">
        <v>584</v>
      </c>
      <c r="C360" s="93" t="s">
        <v>584</v>
      </c>
      <c r="D360" s="94" t="s">
        <v>169</v>
      </c>
      <c r="E360" s="90">
        <v>30</v>
      </c>
      <c r="F360" s="90">
        <v>3.9</v>
      </c>
      <c r="G360" s="90">
        <v>1.95</v>
      </c>
      <c r="H360" s="90">
        <f t="shared" ref="H360:H391" si="21">F360*E360</f>
        <v>117</v>
      </c>
      <c r="I360" s="90">
        <f t="shared" ref="I360:I391" si="22">G360*E360</f>
        <v>58.5</v>
      </c>
      <c r="J360" s="90" t="s">
        <v>585</v>
      </c>
    </row>
    <row r="361" ht="13.5" spans="1:10">
      <c r="A361" s="64">
        <v>2</v>
      </c>
      <c r="B361" s="92" t="s">
        <v>586</v>
      </c>
      <c r="C361" s="93" t="s">
        <v>586</v>
      </c>
      <c r="D361" s="94" t="s">
        <v>169</v>
      </c>
      <c r="E361" s="90">
        <v>4034.25</v>
      </c>
      <c r="F361" s="90">
        <v>3.5</v>
      </c>
      <c r="G361" s="90">
        <v>1.63</v>
      </c>
      <c r="H361" s="90">
        <f t="shared" si="21"/>
        <v>14119.875</v>
      </c>
      <c r="I361" s="90">
        <f t="shared" si="22"/>
        <v>6575.8275</v>
      </c>
      <c r="J361" s="90" t="s">
        <v>587</v>
      </c>
    </row>
    <row r="362" ht="13.5" spans="1:10">
      <c r="A362" s="64">
        <v>3</v>
      </c>
      <c r="B362" s="92" t="s">
        <v>588</v>
      </c>
      <c r="C362" s="95" t="s">
        <v>589</v>
      </c>
      <c r="D362" s="94" t="s">
        <v>169</v>
      </c>
      <c r="E362" s="90">
        <v>420</v>
      </c>
      <c r="F362" s="90">
        <v>53.67</v>
      </c>
      <c r="G362" s="90">
        <v>46.97</v>
      </c>
      <c r="H362" s="90">
        <f t="shared" si="21"/>
        <v>22541.4</v>
      </c>
      <c r="I362" s="90">
        <f t="shared" si="22"/>
        <v>19727.4</v>
      </c>
      <c r="J362" s="90" t="s">
        <v>590</v>
      </c>
    </row>
    <row r="363" ht="13.5" spans="1:10">
      <c r="A363" s="64">
        <v>4</v>
      </c>
      <c r="B363" s="92" t="s">
        <v>591</v>
      </c>
      <c r="C363" s="93" t="s">
        <v>592</v>
      </c>
      <c r="D363" s="94" t="s">
        <v>593</v>
      </c>
      <c r="E363" s="90">
        <v>4</v>
      </c>
      <c r="F363" s="90">
        <v>1200</v>
      </c>
      <c r="G363" s="90">
        <v>1200</v>
      </c>
      <c r="H363" s="90">
        <f t="shared" si="21"/>
        <v>4800</v>
      </c>
      <c r="I363" s="90">
        <f t="shared" si="22"/>
        <v>4800</v>
      </c>
      <c r="J363" s="90" t="s">
        <v>594</v>
      </c>
    </row>
    <row r="364" ht="13.5" spans="1:10">
      <c r="A364" s="64">
        <v>5</v>
      </c>
      <c r="B364" s="92" t="s">
        <v>595</v>
      </c>
      <c r="C364" s="96" t="s">
        <v>465</v>
      </c>
      <c r="D364" s="94" t="s">
        <v>73</v>
      </c>
      <c r="E364" s="90">
        <v>13</v>
      </c>
      <c r="F364" s="90">
        <v>397.39</v>
      </c>
      <c r="G364" s="90">
        <v>397.39</v>
      </c>
      <c r="H364" s="90">
        <f t="shared" si="21"/>
        <v>5166.07</v>
      </c>
      <c r="I364" s="90">
        <f t="shared" si="22"/>
        <v>5166.07</v>
      </c>
      <c r="J364" s="90" t="s">
        <v>596</v>
      </c>
    </row>
    <row r="365" ht="13.5" spans="1:10">
      <c r="A365" s="64">
        <v>6</v>
      </c>
      <c r="B365" s="92" t="s">
        <v>597</v>
      </c>
      <c r="C365" s="93" t="s">
        <v>463</v>
      </c>
      <c r="D365" s="94" t="s">
        <v>73</v>
      </c>
      <c r="E365" s="90">
        <v>3</v>
      </c>
      <c r="F365" s="90">
        <v>770.49</v>
      </c>
      <c r="G365" s="90">
        <v>770.49</v>
      </c>
      <c r="H365" s="90">
        <f t="shared" si="21"/>
        <v>2311.47</v>
      </c>
      <c r="I365" s="90">
        <f t="shared" si="22"/>
        <v>2311.47</v>
      </c>
      <c r="J365" s="90" t="s">
        <v>598</v>
      </c>
    </row>
    <row r="366" ht="13.5" spans="1:10">
      <c r="A366" s="64">
        <v>7</v>
      </c>
      <c r="B366" s="92" t="s">
        <v>599</v>
      </c>
      <c r="C366" s="93" t="s">
        <v>462</v>
      </c>
      <c r="D366" s="94" t="s">
        <v>73</v>
      </c>
      <c r="E366" s="90">
        <v>2</v>
      </c>
      <c r="F366" s="90">
        <v>528.96</v>
      </c>
      <c r="G366" s="90">
        <v>528.96</v>
      </c>
      <c r="H366" s="90">
        <f t="shared" si="21"/>
        <v>1057.92</v>
      </c>
      <c r="I366" s="90">
        <f t="shared" si="22"/>
        <v>1057.92</v>
      </c>
      <c r="J366" s="90" t="s">
        <v>600</v>
      </c>
    </row>
    <row r="367" ht="27" spans="1:10">
      <c r="A367" s="64">
        <v>8</v>
      </c>
      <c r="B367" s="92" t="s">
        <v>601</v>
      </c>
      <c r="C367" s="93" t="s">
        <v>602</v>
      </c>
      <c r="D367" s="94" t="s">
        <v>73</v>
      </c>
      <c r="E367" s="90">
        <v>187</v>
      </c>
      <c r="F367" s="90">
        <v>312</v>
      </c>
      <c r="G367" s="90">
        <v>237.3</v>
      </c>
      <c r="H367" s="90">
        <f t="shared" si="21"/>
        <v>58344</v>
      </c>
      <c r="I367" s="90">
        <f t="shared" si="22"/>
        <v>44375.1</v>
      </c>
      <c r="J367" s="90" t="s">
        <v>603</v>
      </c>
    </row>
    <row r="368" ht="27" spans="1:10">
      <c r="A368" s="64">
        <v>9</v>
      </c>
      <c r="B368" s="92" t="s">
        <v>604</v>
      </c>
      <c r="C368" s="93" t="s">
        <v>605</v>
      </c>
      <c r="D368" s="94" t="s">
        <v>73</v>
      </c>
      <c r="E368" s="90">
        <v>168</v>
      </c>
      <c r="F368" s="90">
        <v>301</v>
      </c>
      <c r="G368" s="90">
        <v>220.35</v>
      </c>
      <c r="H368" s="90">
        <f t="shared" si="21"/>
        <v>50568</v>
      </c>
      <c r="I368" s="90">
        <f t="shared" si="22"/>
        <v>37018.8</v>
      </c>
      <c r="J368" s="90" t="s">
        <v>606</v>
      </c>
    </row>
    <row r="369" ht="27" spans="1:10">
      <c r="A369" s="64">
        <v>10</v>
      </c>
      <c r="B369" s="92" t="s">
        <v>607</v>
      </c>
      <c r="C369" s="93" t="s">
        <v>608</v>
      </c>
      <c r="D369" s="94" t="s">
        <v>73</v>
      </c>
      <c r="E369" s="90">
        <v>19</v>
      </c>
      <c r="F369" s="90">
        <v>117</v>
      </c>
      <c r="G369" s="90">
        <v>117</v>
      </c>
      <c r="H369" s="90">
        <f t="shared" si="21"/>
        <v>2223</v>
      </c>
      <c r="I369" s="90">
        <f t="shared" si="22"/>
        <v>2223</v>
      </c>
      <c r="J369" s="90" t="s">
        <v>609</v>
      </c>
    </row>
    <row r="370" ht="13.5" spans="1:10">
      <c r="A370" s="64">
        <v>11</v>
      </c>
      <c r="B370" s="92" t="s">
        <v>610</v>
      </c>
      <c r="C370" s="93" t="s">
        <v>611</v>
      </c>
      <c r="D370" s="94" t="s">
        <v>13</v>
      </c>
      <c r="E370" s="90">
        <v>3</v>
      </c>
      <c r="F370" s="90">
        <v>6200</v>
      </c>
      <c r="G370" s="90">
        <v>3605</v>
      </c>
      <c r="H370" s="90">
        <f t="shared" si="21"/>
        <v>18600</v>
      </c>
      <c r="I370" s="90">
        <f t="shared" si="22"/>
        <v>10815</v>
      </c>
      <c r="J370" s="90" t="s">
        <v>612</v>
      </c>
    </row>
    <row r="371" ht="13.5" spans="1:10">
      <c r="A371" s="64">
        <v>12</v>
      </c>
      <c r="B371" s="92" t="s">
        <v>613</v>
      </c>
      <c r="C371" s="93" t="s">
        <v>614</v>
      </c>
      <c r="D371" s="94" t="s">
        <v>13</v>
      </c>
      <c r="E371" s="90">
        <v>1</v>
      </c>
      <c r="F371" s="90">
        <v>2000</v>
      </c>
      <c r="G371" s="90">
        <v>1442</v>
      </c>
      <c r="H371" s="90">
        <f t="shared" si="21"/>
        <v>2000</v>
      </c>
      <c r="I371" s="90">
        <f t="shared" si="22"/>
        <v>1442</v>
      </c>
      <c r="J371" s="90" t="s">
        <v>615</v>
      </c>
    </row>
    <row r="372" ht="13.5" spans="1:10">
      <c r="A372" s="64">
        <v>13</v>
      </c>
      <c r="B372" s="92" t="s">
        <v>616</v>
      </c>
      <c r="C372" s="93" t="s">
        <v>617</v>
      </c>
      <c r="D372" s="94" t="s">
        <v>13</v>
      </c>
      <c r="E372" s="90">
        <v>21</v>
      </c>
      <c r="F372" s="90">
        <v>800</v>
      </c>
      <c r="G372" s="90">
        <v>669.5</v>
      </c>
      <c r="H372" s="90">
        <f t="shared" si="21"/>
        <v>16800</v>
      </c>
      <c r="I372" s="90">
        <f t="shared" si="22"/>
        <v>14059.5</v>
      </c>
      <c r="J372" s="90" t="s">
        <v>618</v>
      </c>
    </row>
    <row r="373" ht="27" spans="1:10">
      <c r="A373" s="64">
        <v>14</v>
      </c>
      <c r="B373" s="92" t="s">
        <v>619</v>
      </c>
      <c r="C373" s="93" t="s">
        <v>620</v>
      </c>
      <c r="D373" s="94" t="s">
        <v>13</v>
      </c>
      <c r="E373" s="90">
        <v>1</v>
      </c>
      <c r="F373" s="90">
        <v>4426.737</v>
      </c>
      <c r="G373" s="90">
        <v>3800</v>
      </c>
      <c r="H373" s="90">
        <f t="shared" si="21"/>
        <v>4426.737</v>
      </c>
      <c r="I373" s="90">
        <f t="shared" si="22"/>
        <v>3800</v>
      </c>
      <c r="J373" s="90" t="s">
        <v>621</v>
      </c>
    </row>
    <row r="374" ht="13.5" spans="1:10">
      <c r="A374" s="64">
        <v>15</v>
      </c>
      <c r="B374" s="92" t="s">
        <v>622</v>
      </c>
      <c r="C374" s="93"/>
      <c r="D374" s="94" t="s">
        <v>13</v>
      </c>
      <c r="E374" s="90">
        <v>4</v>
      </c>
      <c r="F374" s="90">
        <v>500</v>
      </c>
      <c r="G374" s="90">
        <v>400</v>
      </c>
      <c r="H374" s="90">
        <f t="shared" si="21"/>
        <v>2000</v>
      </c>
      <c r="I374" s="90">
        <f t="shared" si="22"/>
        <v>1600</v>
      </c>
      <c r="J374" s="90" t="s">
        <v>623</v>
      </c>
    </row>
    <row r="375" ht="60" spans="1:10">
      <c r="A375" s="64">
        <v>16</v>
      </c>
      <c r="B375" s="92" t="s">
        <v>624</v>
      </c>
      <c r="C375" s="97" t="s">
        <v>625</v>
      </c>
      <c r="D375" s="94" t="s">
        <v>13</v>
      </c>
      <c r="E375" s="90">
        <v>1</v>
      </c>
      <c r="F375" s="90">
        <v>2800</v>
      </c>
      <c r="G375" s="90">
        <v>1450</v>
      </c>
      <c r="H375" s="90">
        <f t="shared" si="21"/>
        <v>2800</v>
      </c>
      <c r="I375" s="90">
        <f t="shared" si="22"/>
        <v>1450</v>
      </c>
      <c r="J375" s="90" t="s">
        <v>626</v>
      </c>
    </row>
    <row r="376" ht="132" spans="1:10">
      <c r="A376" s="64">
        <v>17</v>
      </c>
      <c r="B376" s="92" t="s">
        <v>627</v>
      </c>
      <c r="C376" s="97" t="s">
        <v>628</v>
      </c>
      <c r="D376" s="94" t="s">
        <v>13</v>
      </c>
      <c r="E376" s="90">
        <v>32</v>
      </c>
      <c r="F376" s="90">
        <v>480</v>
      </c>
      <c r="G376" s="90">
        <v>396</v>
      </c>
      <c r="H376" s="90">
        <f t="shared" si="21"/>
        <v>15360</v>
      </c>
      <c r="I376" s="90">
        <f t="shared" si="22"/>
        <v>12672</v>
      </c>
      <c r="J376" s="90" t="s">
        <v>629</v>
      </c>
    </row>
    <row r="377" ht="48" spans="1:10">
      <c r="A377" s="64">
        <v>18</v>
      </c>
      <c r="B377" s="92" t="s">
        <v>630</v>
      </c>
      <c r="C377" s="97" t="s">
        <v>631</v>
      </c>
      <c r="D377" s="94" t="s">
        <v>97</v>
      </c>
      <c r="E377" s="90">
        <v>17</v>
      </c>
      <c r="F377" s="90">
        <v>500</v>
      </c>
      <c r="G377" s="90">
        <v>480</v>
      </c>
      <c r="H377" s="90">
        <f t="shared" si="21"/>
        <v>8500</v>
      </c>
      <c r="I377" s="90">
        <f t="shared" si="22"/>
        <v>8160</v>
      </c>
      <c r="J377" s="90" t="s">
        <v>632</v>
      </c>
    </row>
    <row r="378" ht="24" spans="1:10">
      <c r="A378" s="64">
        <v>19</v>
      </c>
      <c r="B378" s="92" t="s">
        <v>633</v>
      </c>
      <c r="C378" s="98" t="s">
        <v>634</v>
      </c>
      <c r="D378" s="94" t="s">
        <v>13</v>
      </c>
      <c r="E378" s="90">
        <v>1</v>
      </c>
      <c r="F378" s="90">
        <v>1000</v>
      </c>
      <c r="G378" s="90">
        <v>850</v>
      </c>
      <c r="H378" s="90">
        <f t="shared" si="21"/>
        <v>1000</v>
      </c>
      <c r="I378" s="90">
        <f t="shared" si="22"/>
        <v>850</v>
      </c>
      <c r="J378" s="90" t="s">
        <v>635</v>
      </c>
    </row>
    <row r="379" ht="132" spans="1:10">
      <c r="A379" s="64">
        <v>20</v>
      </c>
      <c r="B379" s="92" t="s">
        <v>636</v>
      </c>
      <c r="C379" s="98" t="s">
        <v>637</v>
      </c>
      <c r="D379" s="94" t="s">
        <v>13</v>
      </c>
      <c r="E379" s="90">
        <v>1</v>
      </c>
      <c r="F379" s="90">
        <v>5800</v>
      </c>
      <c r="G379" s="90">
        <v>5800</v>
      </c>
      <c r="H379" s="90">
        <f t="shared" si="21"/>
        <v>5800</v>
      </c>
      <c r="I379" s="90">
        <f t="shared" si="22"/>
        <v>5800</v>
      </c>
      <c r="J379" s="90" t="s">
        <v>638</v>
      </c>
    </row>
    <row r="380" ht="132" spans="1:10">
      <c r="A380" s="64">
        <v>21</v>
      </c>
      <c r="B380" s="92" t="s">
        <v>639</v>
      </c>
      <c r="C380" s="98" t="s">
        <v>640</v>
      </c>
      <c r="D380" s="94" t="s">
        <v>13</v>
      </c>
      <c r="E380" s="90">
        <v>1</v>
      </c>
      <c r="F380" s="90">
        <v>4200</v>
      </c>
      <c r="G380" s="90">
        <v>2850</v>
      </c>
      <c r="H380" s="90">
        <f t="shared" si="21"/>
        <v>4200</v>
      </c>
      <c r="I380" s="90">
        <f t="shared" si="22"/>
        <v>2850</v>
      </c>
      <c r="J380" s="90" t="s">
        <v>641</v>
      </c>
    </row>
    <row r="381" ht="216" spans="1:10">
      <c r="A381" s="64">
        <v>22</v>
      </c>
      <c r="B381" s="92" t="s">
        <v>642</v>
      </c>
      <c r="C381" s="98" t="s">
        <v>643</v>
      </c>
      <c r="D381" s="94" t="s">
        <v>13</v>
      </c>
      <c r="E381" s="90">
        <v>1</v>
      </c>
      <c r="F381" s="90">
        <v>4500</v>
      </c>
      <c r="G381" s="90">
        <v>3600</v>
      </c>
      <c r="H381" s="90">
        <f t="shared" si="21"/>
        <v>4500</v>
      </c>
      <c r="I381" s="90">
        <f t="shared" si="22"/>
        <v>3600</v>
      </c>
      <c r="J381" s="90" t="s">
        <v>644</v>
      </c>
    </row>
    <row r="382" ht="13.5" spans="1:10">
      <c r="A382" s="64">
        <v>23</v>
      </c>
      <c r="B382" s="92" t="s">
        <v>645</v>
      </c>
      <c r="C382" s="93" t="s">
        <v>646</v>
      </c>
      <c r="D382" s="94" t="s">
        <v>13</v>
      </c>
      <c r="E382" s="90">
        <v>1</v>
      </c>
      <c r="F382" s="90">
        <v>4235</v>
      </c>
      <c r="G382" s="90">
        <v>4235</v>
      </c>
      <c r="H382" s="90">
        <f t="shared" si="21"/>
        <v>4235</v>
      </c>
      <c r="I382" s="90">
        <f t="shared" si="22"/>
        <v>4235</v>
      </c>
      <c r="J382" s="90" t="s">
        <v>647</v>
      </c>
    </row>
    <row r="383" ht="40.5" spans="1:10">
      <c r="A383" s="64">
        <v>24</v>
      </c>
      <c r="B383" s="92" t="s">
        <v>648</v>
      </c>
      <c r="C383" s="93" t="s">
        <v>649</v>
      </c>
      <c r="D383" s="94" t="s">
        <v>13</v>
      </c>
      <c r="E383" s="90">
        <v>1</v>
      </c>
      <c r="F383" s="90">
        <v>2200</v>
      </c>
      <c r="G383" s="90">
        <v>1338.49</v>
      </c>
      <c r="H383" s="90">
        <f t="shared" si="21"/>
        <v>2200</v>
      </c>
      <c r="I383" s="90">
        <f t="shared" si="22"/>
        <v>1338.49</v>
      </c>
      <c r="J383" s="90" t="s">
        <v>650</v>
      </c>
    </row>
    <row r="384" ht="27" spans="1:10">
      <c r="A384" s="64">
        <v>25</v>
      </c>
      <c r="B384" s="92" t="s">
        <v>651</v>
      </c>
      <c r="C384" s="95" t="s">
        <v>652</v>
      </c>
      <c r="D384" s="94" t="s">
        <v>13</v>
      </c>
      <c r="E384" s="90">
        <v>1</v>
      </c>
      <c r="F384" s="90">
        <v>820</v>
      </c>
      <c r="G384" s="90">
        <v>820</v>
      </c>
      <c r="H384" s="90">
        <f t="shared" si="21"/>
        <v>820</v>
      </c>
      <c r="I384" s="90">
        <f t="shared" si="22"/>
        <v>820</v>
      </c>
      <c r="J384" s="90" t="s">
        <v>653</v>
      </c>
    </row>
    <row r="385" ht="13.5" spans="1:10">
      <c r="A385" s="64">
        <v>26</v>
      </c>
      <c r="B385" s="92" t="s">
        <v>654</v>
      </c>
      <c r="C385" s="93" t="s">
        <v>654</v>
      </c>
      <c r="D385" s="94" t="s">
        <v>13</v>
      </c>
      <c r="E385" s="90">
        <v>4</v>
      </c>
      <c r="F385" s="90">
        <v>820</v>
      </c>
      <c r="G385" s="90">
        <v>820</v>
      </c>
      <c r="H385" s="90">
        <f t="shared" si="21"/>
        <v>3280</v>
      </c>
      <c r="I385" s="90">
        <f t="shared" si="22"/>
        <v>3280</v>
      </c>
      <c r="J385" s="90" t="s">
        <v>655</v>
      </c>
    </row>
    <row r="386" ht="13.5" spans="1:10">
      <c r="A386" s="64">
        <v>27</v>
      </c>
      <c r="B386" s="92" t="s">
        <v>656</v>
      </c>
      <c r="C386" s="96" t="s">
        <v>657</v>
      </c>
      <c r="D386" s="94" t="s">
        <v>13</v>
      </c>
      <c r="E386" s="90">
        <v>1</v>
      </c>
      <c r="F386" s="90">
        <v>500</v>
      </c>
      <c r="G386" s="90">
        <v>280</v>
      </c>
      <c r="H386" s="90">
        <f t="shared" si="21"/>
        <v>500</v>
      </c>
      <c r="I386" s="90">
        <f t="shared" si="22"/>
        <v>280</v>
      </c>
      <c r="J386" s="90" t="s">
        <v>658</v>
      </c>
    </row>
    <row r="387" ht="13.5" spans="1:10">
      <c r="A387" s="64">
        <v>28</v>
      </c>
      <c r="B387" s="99" t="s">
        <v>659</v>
      </c>
      <c r="C387" s="93" t="s">
        <v>660</v>
      </c>
      <c r="D387" s="100" t="s">
        <v>335</v>
      </c>
      <c r="E387" s="90">
        <v>113.368</v>
      </c>
      <c r="F387" s="90">
        <v>26.99</v>
      </c>
      <c r="G387" s="90">
        <v>21.53</v>
      </c>
      <c r="H387" s="90">
        <f t="shared" si="21"/>
        <v>3059.80232</v>
      </c>
      <c r="I387" s="90">
        <f t="shared" si="22"/>
        <v>2440.81304</v>
      </c>
      <c r="J387" s="90" t="s">
        <v>661</v>
      </c>
    </row>
    <row r="388" ht="13.5" spans="1:10">
      <c r="A388" s="64">
        <v>29</v>
      </c>
      <c r="B388" s="99" t="s">
        <v>662</v>
      </c>
      <c r="C388" s="93" t="s">
        <v>663</v>
      </c>
      <c r="D388" s="100" t="s">
        <v>335</v>
      </c>
      <c r="E388" s="90">
        <v>3684.447</v>
      </c>
      <c r="F388" s="90">
        <v>19.91</v>
      </c>
      <c r="G388" s="90">
        <v>9.31</v>
      </c>
      <c r="H388" s="90">
        <f t="shared" si="21"/>
        <v>73357.33977</v>
      </c>
      <c r="I388" s="90">
        <f t="shared" si="22"/>
        <v>34302.20157</v>
      </c>
      <c r="J388" s="90" t="s">
        <v>664</v>
      </c>
    </row>
    <row r="389" ht="13.5" spans="1:10">
      <c r="A389" s="64">
        <v>30</v>
      </c>
      <c r="B389" s="99" t="s">
        <v>665</v>
      </c>
      <c r="C389" s="93" t="s">
        <v>666</v>
      </c>
      <c r="D389" s="100" t="s">
        <v>335</v>
      </c>
      <c r="E389" s="90">
        <v>113.368</v>
      </c>
      <c r="F389" s="90">
        <v>44.25</v>
      </c>
      <c r="G389" s="90">
        <v>31.43</v>
      </c>
      <c r="H389" s="90">
        <f t="shared" si="21"/>
        <v>5016.534</v>
      </c>
      <c r="I389" s="90">
        <f t="shared" si="22"/>
        <v>3563.15624</v>
      </c>
      <c r="J389" s="90" t="s">
        <v>667</v>
      </c>
    </row>
    <row r="390" ht="13.5" spans="1:10">
      <c r="A390" s="64">
        <v>31</v>
      </c>
      <c r="B390" s="99" t="s">
        <v>668</v>
      </c>
      <c r="C390" s="93" t="s">
        <v>669</v>
      </c>
      <c r="D390" s="100" t="s">
        <v>279</v>
      </c>
      <c r="E390" s="90">
        <v>166</v>
      </c>
      <c r="F390" s="90">
        <v>240</v>
      </c>
      <c r="G390" s="90">
        <v>101.248</v>
      </c>
      <c r="H390" s="90">
        <f t="shared" si="21"/>
        <v>39840</v>
      </c>
      <c r="I390" s="90">
        <f t="shared" si="22"/>
        <v>16807.168</v>
      </c>
      <c r="J390" s="90" t="s">
        <v>670</v>
      </c>
    </row>
    <row r="391" ht="27" spans="1:10">
      <c r="A391" s="64">
        <v>32</v>
      </c>
      <c r="B391" s="99" t="s">
        <v>671</v>
      </c>
      <c r="C391" s="93" t="s">
        <v>672</v>
      </c>
      <c r="D391" s="100" t="s">
        <v>673</v>
      </c>
      <c r="E391" s="90">
        <v>408</v>
      </c>
      <c r="F391" s="90">
        <v>121.63</v>
      </c>
      <c r="G391" s="90">
        <v>100</v>
      </c>
      <c r="H391" s="90">
        <f t="shared" si="21"/>
        <v>49625.04</v>
      </c>
      <c r="I391" s="90">
        <f t="shared" si="22"/>
        <v>40800</v>
      </c>
      <c r="J391" s="90" t="s">
        <v>674</v>
      </c>
    </row>
    <row r="392" ht="12.75" spans="1:10">
      <c r="A392" s="101">
        <v>1</v>
      </c>
      <c r="B392" s="101" t="s">
        <v>675</v>
      </c>
      <c r="C392" s="102" t="s">
        <v>676</v>
      </c>
      <c r="D392" s="101" t="s">
        <v>673</v>
      </c>
      <c r="E392" s="90">
        <v>2027.099</v>
      </c>
      <c r="F392" s="90">
        <v>79.8</v>
      </c>
      <c r="G392" s="90">
        <f>76/1.1295</f>
        <v>67.286409915892</v>
      </c>
      <c r="H392" s="90">
        <f t="shared" ref="H392:H423" si="23">E392*F392</f>
        <v>161762.5002</v>
      </c>
      <c r="I392" s="90">
        <f t="shared" ref="I392:I423" si="24">E392*G392</f>
        <v>136396.214254095</v>
      </c>
      <c r="J392" s="101"/>
    </row>
    <row r="393" ht="96" spans="1:10">
      <c r="A393" s="101">
        <v>2</v>
      </c>
      <c r="B393" s="101" t="s">
        <v>677</v>
      </c>
      <c r="C393" s="102" t="s">
        <v>678</v>
      </c>
      <c r="D393" s="101" t="s">
        <v>679</v>
      </c>
      <c r="E393" s="90">
        <v>288.028</v>
      </c>
      <c r="F393" s="90">
        <v>1100</v>
      </c>
      <c r="G393" s="90">
        <v>1100</v>
      </c>
      <c r="H393" s="90">
        <f t="shared" si="23"/>
        <v>316830.8</v>
      </c>
      <c r="I393" s="90">
        <f t="shared" si="24"/>
        <v>316830.8</v>
      </c>
      <c r="J393" s="101" t="s">
        <v>680</v>
      </c>
    </row>
    <row r="394" ht="96" spans="1:10">
      <c r="A394" s="101">
        <v>3</v>
      </c>
      <c r="B394" s="101" t="s">
        <v>681</v>
      </c>
      <c r="C394" s="102" t="s">
        <v>682</v>
      </c>
      <c r="D394" s="101" t="s">
        <v>679</v>
      </c>
      <c r="E394" s="90">
        <v>64.583</v>
      </c>
      <c r="F394" s="90">
        <v>2600</v>
      </c>
      <c r="G394" s="90">
        <v>1800</v>
      </c>
      <c r="H394" s="90">
        <f t="shared" si="23"/>
        <v>167915.8</v>
      </c>
      <c r="I394" s="90">
        <f t="shared" si="24"/>
        <v>116249.4</v>
      </c>
      <c r="J394" s="101" t="s">
        <v>683</v>
      </c>
    </row>
    <row r="395" ht="22.5" spans="1:10">
      <c r="A395" s="101">
        <v>4</v>
      </c>
      <c r="B395" s="103" t="s">
        <v>684</v>
      </c>
      <c r="C395" s="104" t="s">
        <v>685</v>
      </c>
      <c r="D395" s="105" t="s">
        <v>197</v>
      </c>
      <c r="E395" s="90">
        <v>26.03</v>
      </c>
      <c r="F395" s="90">
        <v>550</v>
      </c>
      <c r="G395" s="90">
        <f>593/1.13</f>
        <v>524.778761061947</v>
      </c>
      <c r="H395" s="90">
        <f t="shared" si="23"/>
        <v>14316.5</v>
      </c>
      <c r="I395" s="90">
        <f t="shared" si="24"/>
        <v>13659.9911504425</v>
      </c>
      <c r="J395" s="108" t="s">
        <v>686</v>
      </c>
    </row>
    <row r="396" ht="22.5" spans="1:10">
      <c r="A396" s="101">
        <v>5</v>
      </c>
      <c r="B396" s="103" t="s">
        <v>687</v>
      </c>
      <c r="C396" s="104" t="s">
        <v>688</v>
      </c>
      <c r="D396" s="105" t="s">
        <v>169</v>
      </c>
      <c r="E396" s="90">
        <v>809.01</v>
      </c>
      <c r="F396" s="90">
        <v>0</v>
      </c>
      <c r="G396" s="90">
        <f>15.25/1.13</f>
        <v>13.4955752212389</v>
      </c>
      <c r="H396" s="90">
        <f t="shared" si="23"/>
        <v>0</v>
      </c>
      <c r="I396" s="90">
        <f t="shared" si="24"/>
        <v>10918.0553097345</v>
      </c>
      <c r="J396" s="108" t="s">
        <v>686</v>
      </c>
    </row>
    <row r="397" ht="22.5" spans="1:10">
      <c r="A397" s="101">
        <v>6</v>
      </c>
      <c r="B397" s="103" t="s">
        <v>687</v>
      </c>
      <c r="C397" s="104" t="s">
        <v>689</v>
      </c>
      <c r="D397" s="105" t="s">
        <v>169</v>
      </c>
      <c r="E397" s="90">
        <v>799.22</v>
      </c>
      <c r="F397" s="90">
        <v>24.44</v>
      </c>
      <c r="G397" s="90">
        <f>32.53/1.13</f>
        <v>28.787610619469</v>
      </c>
      <c r="H397" s="90">
        <f t="shared" si="23"/>
        <v>19532.9368</v>
      </c>
      <c r="I397" s="90">
        <f t="shared" si="24"/>
        <v>23007.634159292</v>
      </c>
      <c r="J397" s="108" t="s">
        <v>686</v>
      </c>
    </row>
    <row r="398" ht="22.5" spans="1:10">
      <c r="A398" s="101">
        <v>7</v>
      </c>
      <c r="B398" s="103" t="s">
        <v>687</v>
      </c>
      <c r="C398" s="104" t="s">
        <v>690</v>
      </c>
      <c r="D398" s="105" t="s">
        <v>169</v>
      </c>
      <c r="E398" s="90">
        <v>273.08</v>
      </c>
      <c r="F398" s="90">
        <v>38.48</v>
      </c>
      <c r="G398" s="90">
        <f>39.45/1.13</f>
        <v>34.9115044247788</v>
      </c>
      <c r="H398" s="90">
        <f t="shared" si="23"/>
        <v>10508.1184</v>
      </c>
      <c r="I398" s="90">
        <f t="shared" si="24"/>
        <v>9533.63362831859</v>
      </c>
      <c r="J398" s="108" t="s">
        <v>686</v>
      </c>
    </row>
    <row r="399" ht="22.5" spans="1:10">
      <c r="A399" s="101">
        <v>8</v>
      </c>
      <c r="B399" s="103" t="s">
        <v>687</v>
      </c>
      <c r="C399" s="104" t="s">
        <v>691</v>
      </c>
      <c r="D399" s="105" t="s">
        <v>169</v>
      </c>
      <c r="E399" s="90">
        <v>111.24</v>
      </c>
      <c r="F399" s="90">
        <v>48.32</v>
      </c>
      <c r="G399" s="90">
        <f>55.16/1.13</f>
        <v>48.8141592920354</v>
      </c>
      <c r="H399" s="90">
        <f t="shared" si="23"/>
        <v>5375.1168</v>
      </c>
      <c r="I399" s="90">
        <f t="shared" si="24"/>
        <v>5430.08707964602</v>
      </c>
      <c r="J399" s="108" t="s">
        <v>686</v>
      </c>
    </row>
    <row r="400" ht="22.5" spans="1:10">
      <c r="A400" s="101">
        <v>9</v>
      </c>
      <c r="B400" s="103" t="s">
        <v>687</v>
      </c>
      <c r="C400" s="104" t="s">
        <v>692</v>
      </c>
      <c r="D400" s="105" t="s">
        <v>169</v>
      </c>
      <c r="E400" s="90">
        <v>122.99</v>
      </c>
      <c r="F400" s="90">
        <v>70.8</v>
      </c>
      <c r="G400" s="90">
        <f>71.82/1.13</f>
        <v>63.5575221238938</v>
      </c>
      <c r="H400" s="90">
        <f t="shared" si="23"/>
        <v>8707.692</v>
      </c>
      <c r="I400" s="90">
        <f t="shared" si="24"/>
        <v>7816.9396460177</v>
      </c>
      <c r="J400" s="108" t="s">
        <v>686</v>
      </c>
    </row>
    <row r="401" ht="22.5" spans="1:10">
      <c r="A401" s="101">
        <v>10</v>
      </c>
      <c r="B401" s="103" t="s">
        <v>687</v>
      </c>
      <c r="C401" s="69" t="s">
        <v>693</v>
      </c>
      <c r="D401" s="105" t="s">
        <v>169</v>
      </c>
      <c r="E401" s="90">
        <v>41.55</v>
      </c>
      <c r="F401" s="90">
        <v>104.64</v>
      </c>
      <c r="G401" s="90">
        <f>99.18/1.13</f>
        <v>87.7699115044248</v>
      </c>
      <c r="H401" s="90">
        <f t="shared" si="23"/>
        <v>4347.792</v>
      </c>
      <c r="I401" s="90">
        <f t="shared" si="24"/>
        <v>3646.83982300885</v>
      </c>
      <c r="J401" s="108" t="s">
        <v>686</v>
      </c>
    </row>
    <row r="402" ht="22.5" spans="1:10">
      <c r="A402" s="101">
        <v>11</v>
      </c>
      <c r="B402" s="103" t="s">
        <v>687</v>
      </c>
      <c r="C402" s="69" t="s">
        <v>694</v>
      </c>
      <c r="D402" s="105" t="s">
        <v>169</v>
      </c>
      <c r="E402" s="90">
        <v>99.21</v>
      </c>
      <c r="F402" s="90">
        <v>93.36</v>
      </c>
      <c r="G402" s="90">
        <f>120/1.13</f>
        <v>106.194690265487</v>
      </c>
      <c r="H402" s="90">
        <f t="shared" si="23"/>
        <v>9262.2456</v>
      </c>
      <c r="I402" s="90">
        <f t="shared" si="24"/>
        <v>10535.5752212389</v>
      </c>
      <c r="J402" s="108" t="s">
        <v>686</v>
      </c>
    </row>
    <row r="403" ht="22.5" spans="1:10">
      <c r="A403" s="101">
        <v>12</v>
      </c>
      <c r="B403" s="103" t="s">
        <v>687</v>
      </c>
      <c r="C403" s="69" t="s">
        <v>695</v>
      </c>
      <c r="D403" s="105" t="s">
        <v>169</v>
      </c>
      <c r="E403" s="90">
        <v>83.24</v>
      </c>
      <c r="F403" s="90">
        <v>154</v>
      </c>
      <c r="G403" s="90">
        <f>130.43/1.13</f>
        <v>115.424778761062</v>
      </c>
      <c r="H403" s="90">
        <f t="shared" si="23"/>
        <v>12818.96</v>
      </c>
      <c r="I403" s="90">
        <f t="shared" si="24"/>
        <v>9607.9585840708</v>
      </c>
      <c r="J403" s="108" t="s">
        <v>686</v>
      </c>
    </row>
    <row r="404" ht="22.5" spans="1:10">
      <c r="A404" s="101">
        <v>13</v>
      </c>
      <c r="B404" s="103" t="s">
        <v>687</v>
      </c>
      <c r="C404" s="69" t="s">
        <v>696</v>
      </c>
      <c r="D404" s="105" t="s">
        <v>169</v>
      </c>
      <c r="E404" s="90">
        <v>27.54</v>
      </c>
      <c r="F404" s="90">
        <v>168.48</v>
      </c>
      <c r="G404" s="90">
        <f>140.4/1.13</f>
        <v>124.247787610619</v>
      </c>
      <c r="H404" s="90">
        <f t="shared" si="23"/>
        <v>4639.9392</v>
      </c>
      <c r="I404" s="90">
        <f t="shared" si="24"/>
        <v>3421.78407079646</v>
      </c>
      <c r="J404" s="108" t="s">
        <v>686</v>
      </c>
    </row>
    <row r="405" ht="48" spans="1:10">
      <c r="A405" s="101">
        <v>14</v>
      </c>
      <c r="B405" s="103" t="s">
        <v>697</v>
      </c>
      <c r="C405" s="106" t="s">
        <v>698</v>
      </c>
      <c r="D405" s="105" t="s">
        <v>13</v>
      </c>
      <c r="E405" s="90">
        <v>6</v>
      </c>
      <c r="F405" s="90">
        <v>5780</v>
      </c>
      <c r="G405" s="90">
        <f>2188/1.13</f>
        <v>1936.28318584071</v>
      </c>
      <c r="H405" s="90">
        <f t="shared" si="23"/>
        <v>34680</v>
      </c>
      <c r="I405" s="90">
        <f t="shared" si="24"/>
        <v>11617.6991150442</v>
      </c>
      <c r="J405" s="108" t="s">
        <v>686</v>
      </c>
    </row>
    <row r="406" ht="36" spans="1:10">
      <c r="A406" s="101">
        <v>15</v>
      </c>
      <c r="B406" s="103" t="s">
        <v>699</v>
      </c>
      <c r="C406" s="106" t="s">
        <v>700</v>
      </c>
      <c r="D406" s="105" t="s">
        <v>13</v>
      </c>
      <c r="E406" s="90">
        <v>1</v>
      </c>
      <c r="F406" s="90">
        <v>5140</v>
      </c>
      <c r="G406" s="90">
        <f>2565/1.13</f>
        <v>2269.91150442478</v>
      </c>
      <c r="H406" s="90">
        <f t="shared" si="23"/>
        <v>5140</v>
      </c>
      <c r="I406" s="90">
        <f t="shared" si="24"/>
        <v>2269.91150442478</v>
      </c>
      <c r="J406" s="108" t="s">
        <v>686</v>
      </c>
    </row>
    <row r="407" ht="48" spans="1:10">
      <c r="A407" s="101">
        <v>16</v>
      </c>
      <c r="B407" s="103" t="s">
        <v>701</v>
      </c>
      <c r="C407" s="106" t="s">
        <v>702</v>
      </c>
      <c r="D407" s="105" t="s">
        <v>13</v>
      </c>
      <c r="E407" s="90">
        <v>93</v>
      </c>
      <c r="F407" s="90">
        <v>5500</v>
      </c>
      <c r="G407" s="90">
        <f>2633/1.13</f>
        <v>2330.08849557522</v>
      </c>
      <c r="H407" s="90">
        <f t="shared" si="23"/>
        <v>511500</v>
      </c>
      <c r="I407" s="90">
        <f t="shared" si="24"/>
        <v>216698.230088496</v>
      </c>
      <c r="J407" s="108" t="s">
        <v>686</v>
      </c>
    </row>
    <row r="408" ht="48" spans="1:10">
      <c r="A408" s="101">
        <v>17</v>
      </c>
      <c r="B408" s="103" t="s">
        <v>703</v>
      </c>
      <c r="C408" s="106" t="s">
        <v>704</v>
      </c>
      <c r="D408" s="105" t="s">
        <v>13</v>
      </c>
      <c r="E408" s="90">
        <v>2</v>
      </c>
      <c r="F408" s="90">
        <v>5677.6</v>
      </c>
      <c r="G408" s="90">
        <f>3283/1.13</f>
        <v>2905.30973451327</v>
      </c>
      <c r="H408" s="90">
        <f t="shared" si="23"/>
        <v>11355.2</v>
      </c>
      <c r="I408" s="90">
        <f t="shared" si="24"/>
        <v>5810.61946902655</v>
      </c>
      <c r="J408" s="108" t="s">
        <v>686</v>
      </c>
    </row>
    <row r="409" ht="48" spans="1:10">
      <c r="A409" s="101">
        <v>18</v>
      </c>
      <c r="B409" s="103" t="s">
        <v>705</v>
      </c>
      <c r="C409" s="106" t="s">
        <v>706</v>
      </c>
      <c r="D409" s="105" t="s">
        <v>13</v>
      </c>
      <c r="E409" s="90">
        <v>1</v>
      </c>
      <c r="F409" s="90">
        <v>8820</v>
      </c>
      <c r="G409" s="90">
        <f>3744/1.13</f>
        <v>3313.27433628319</v>
      </c>
      <c r="H409" s="90">
        <f t="shared" si="23"/>
        <v>8820</v>
      </c>
      <c r="I409" s="90">
        <f t="shared" si="24"/>
        <v>3313.27433628319</v>
      </c>
      <c r="J409" s="108" t="s">
        <v>686</v>
      </c>
    </row>
    <row r="410" ht="48" spans="1:10">
      <c r="A410" s="101">
        <v>19</v>
      </c>
      <c r="B410" s="103" t="s">
        <v>707</v>
      </c>
      <c r="C410" s="106" t="s">
        <v>708</v>
      </c>
      <c r="D410" s="105" t="s">
        <v>13</v>
      </c>
      <c r="E410" s="90">
        <v>6</v>
      </c>
      <c r="F410" s="90">
        <v>4555</v>
      </c>
      <c r="G410" s="90">
        <f>4343/1.13</f>
        <v>3843.36283185841</v>
      </c>
      <c r="H410" s="90">
        <f t="shared" si="23"/>
        <v>27330</v>
      </c>
      <c r="I410" s="90">
        <f t="shared" si="24"/>
        <v>23060.1769911504</v>
      </c>
      <c r="J410" s="108" t="s">
        <v>686</v>
      </c>
    </row>
    <row r="411" ht="48" spans="1:10">
      <c r="A411" s="101">
        <v>20</v>
      </c>
      <c r="B411" s="103" t="s">
        <v>709</v>
      </c>
      <c r="C411" s="106" t="s">
        <v>710</v>
      </c>
      <c r="D411" s="105" t="s">
        <v>13</v>
      </c>
      <c r="E411" s="90">
        <v>2</v>
      </c>
      <c r="F411" s="90">
        <v>6305.44</v>
      </c>
      <c r="G411" s="90">
        <f>4428/1.13</f>
        <v>3918.58407079646</v>
      </c>
      <c r="H411" s="90">
        <f t="shared" si="23"/>
        <v>12610.88</v>
      </c>
      <c r="I411" s="90">
        <f t="shared" si="24"/>
        <v>7837.16814159292</v>
      </c>
      <c r="J411" s="108" t="s">
        <v>686</v>
      </c>
    </row>
    <row r="412" ht="48" spans="1:10">
      <c r="A412" s="101">
        <v>21</v>
      </c>
      <c r="B412" s="103" t="s">
        <v>711</v>
      </c>
      <c r="C412" s="106" t="s">
        <v>712</v>
      </c>
      <c r="D412" s="105" t="s">
        <v>13</v>
      </c>
      <c r="E412" s="90">
        <v>1</v>
      </c>
      <c r="F412" s="90">
        <v>8725</v>
      </c>
      <c r="G412" s="90">
        <f>4958/1.13</f>
        <v>4387.61061946903</v>
      </c>
      <c r="H412" s="90">
        <f t="shared" si="23"/>
        <v>8725</v>
      </c>
      <c r="I412" s="90">
        <f t="shared" si="24"/>
        <v>4387.61061946903</v>
      </c>
      <c r="J412" s="108" t="s">
        <v>686</v>
      </c>
    </row>
    <row r="413" ht="48" spans="1:10">
      <c r="A413" s="101">
        <v>22</v>
      </c>
      <c r="B413" s="103" t="s">
        <v>713</v>
      </c>
      <c r="C413" s="106" t="s">
        <v>714</v>
      </c>
      <c r="D413" s="105" t="s">
        <v>13</v>
      </c>
      <c r="E413" s="90">
        <v>7</v>
      </c>
      <c r="F413" s="90">
        <v>13267.4</v>
      </c>
      <c r="G413" s="90">
        <f>5005/1.13</f>
        <v>4429.20353982301</v>
      </c>
      <c r="H413" s="90">
        <f t="shared" si="23"/>
        <v>92871.8</v>
      </c>
      <c r="I413" s="90">
        <f t="shared" si="24"/>
        <v>31004.4247787611</v>
      </c>
      <c r="J413" s="108" t="s">
        <v>686</v>
      </c>
    </row>
    <row r="414" ht="48" spans="1:10">
      <c r="A414" s="101">
        <v>23</v>
      </c>
      <c r="B414" s="103" t="s">
        <v>715</v>
      </c>
      <c r="C414" s="106" t="s">
        <v>716</v>
      </c>
      <c r="D414" s="105" t="s">
        <v>13</v>
      </c>
      <c r="E414" s="90">
        <v>4</v>
      </c>
      <c r="F414" s="90">
        <v>28228.7</v>
      </c>
      <c r="G414" s="90">
        <f>7670/1.13</f>
        <v>6787.61061946903</v>
      </c>
      <c r="H414" s="90">
        <f t="shared" si="23"/>
        <v>112914.8</v>
      </c>
      <c r="I414" s="90">
        <f t="shared" si="24"/>
        <v>27150.4424778761</v>
      </c>
      <c r="J414" s="108" t="s">
        <v>686</v>
      </c>
    </row>
    <row r="415" ht="24" spans="1:10">
      <c r="A415" s="101">
        <v>24</v>
      </c>
      <c r="B415" s="103" t="s">
        <v>717</v>
      </c>
      <c r="C415" s="106" t="s">
        <v>718</v>
      </c>
      <c r="D415" s="105" t="s">
        <v>13</v>
      </c>
      <c r="E415" s="90">
        <v>1</v>
      </c>
      <c r="F415" s="90">
        <v>28500</v>
      </c>
      <c r="G415" s="90">
        <f>41480/1.13</f>
        <v>36707.9646017699</v>
      </c>
      <c r="H415" s="90">
        <f t="shared" si="23"/>
        <v>28500</v>
      </c>
      <c r="I415" s="90">
        <f t="shared" si="24"/>
        <v>36707.9646017699</v>
      </c>
      <c r="J415" s="108" t="s">
        <v>686</v>
      </c>
    </row>
    <row r="416" ht="24" spans="1:10">
      <c r="A416" s="101">
        <v>25</v>
      </c>
      <c r="B416" s="103" t="s">
        <v>719</v>
      </c>
      <c r="C416" s="106" t="s">
        <v>720</v>
      </c>
      <c r="D416" s="105" t="s">
        <v>13</v>
      </c>
      <c r="E416" s="90">
        <v>1</v>
      </c>
      <c r="F416" s="90">
        <v>32690</v>
      </c>
      <c r="G416" s="90">
        <f>107900/1.13</f>
        <v>95486.7256637168</v>
      </c>
      <c r="H416" s="90">
        <f t="shared" si="23"/>
        <v>32690</v>
      </c>
      <c r="I416" s="90">
        <f t="shared" si="24"/>
        <v>95486.7256637168</v>
      </c>
      <c r="J416" s="108" t="s">
        <v>686</v>
      </c>
    </row>
    <row r="417" ht="24" spans="1:10">
      <c r="A417" s="101">
        <v>26</v>
      </c>
      <c r="B417" s="103" t="s">
        <v>721</v>
      </c>
      <c r="C417" s="106" t="s">
        <v>722</v>
      </c>
      <c r="D417" s="105" t="s">
        <v>13</v>
      </c>
      <c r="E417" s="90">
        <v>2</v>
      </c>
      <c r="F417" s="90">
        <v>43098.7</v>
      </c>
      <c r="G417" s="90">
        <f>150500/1.13</f>
        <v>133185.840707965</v>
      </c>
      <c r="H417" s="90">
        <f t="shared" si="23"/>
        <v>86197.4</v>
      </c>
      <c r="I417" s="90">
        <f t="shared" si="24"/>
        <v>266371.681415929</v>
      </c>
      <c r="J417" s="108" t="s">
        <v>686</v>
      </c>
    </row>
    <row r="418" ht="24" spans="1:10">
      <c r="A418" s="101">
        <v>27</v>
      </c>
      <c r="B418" s="103" t="s">
        <v>723</v>
      </c>
      <c r="C418" s="104" t="s">
        <v>724</v>
      </c>
      <c r="D418" s="105" t="s">
        <v>13</v>
      </c>
      <c r="E418" s="90">
        <v>1</v>
      </c>
      <c r="F418" s="90">
        <v>59999</v>
      </c>
      <c r="G418" s="90">
        <f>216500/1.13</f>
        <v>191592.920353982</v>
      </c>
      <c r="H418" s="90">
        <f t="shared" si="23"/>
        <v>59999</v>
      </c>
      <c r="I418" s="90">
        <f t="shared" si="24"/>
        <v>191592.920353982</v>
      </c>
      <c r="J418" s="108" t="s">
        <v>686</v>
      </c>
    </row>
    <row r="419" ht="24" spans="1:10">
      <c r="A419" s="101">
        <v>28</v>
      </c>
      <c r="B419" s="103" t="s">
        <v>725</v>
      </c>
      <c r="C419" s="104" t="s">
        <v>726</v>
      </c>
      <c r="D419" s="105" t="s">
        <v>13</v>
      </c>
      <c r="E419" s="90">
        <v>1</v>
      </c>
      <c r="F419" s="90">
        <v>61998.8</v>
      </c>
      <c r="G419" s="90">
        <f>232560/1.13</f>
        <v>205805.309734513</v>
      </c>
      <c r="H419" s="90">
        <f t="shared" si="23"/>
        <v>61998.8</v>
      </c>
      <c r="I419" s="90">
        <f t="shared" si="24"/>
        <v>205805.309734513</v>
      </c>
      <c r="J419" s="108" t="s">
        <v>686</v>
      </c>
    </row>
    <row r="420" ht="24" spans="1:10">
      <c r="A420" s="101">
        <v>29</v>
      </c>
      <c r="B420" s="103" t="s">
        <v>727</v>
      </c>
      <c r="C420" s="104" t="s">
        <v>728</v>
      </c>
      <c r="D420" s="105" t="s">
        <v>13</v>
      </c>
      <c r="E420" s="90">
        <v>2</v>
      </c>
      <c r="F420" s="90">
        <v>8700</v>
      </c>
      <c r="G420" s="90">
        <f>5077/1.13</f>
        <v>4492.9203539823</v>
      </c>
      <c r="H420" s="90">
        <f t="shared" si="23"/>
        <v>17400</v>
      </c>
      <c r="I420" s="90">
        <f t="shared" si="24"/>
        <v>8985.8407079646</v>
      </c>
      <c r="J420" s="108" t="s">
        <v>686</v>
      </c>
    </row>
    <row r="421" ht="24" spans="1:10">
      <c r="A421" s="101">
        <v>30</v>
      </c>
      <c r="B421" s="103" t="s">
        <v>729</v>
      </c>
      <c r="C421" s="104" t="s">
        <v>730</v>
      </c>
      <c r="D421" s="105" t="s">
        <v>13</v>
      </c>
      <c r="E421" s="90">
        <v>5</v>
      </c>
      <c r="F421" s="90">
        <v>14948</v>
      </c>
      <c r="G421" s="90">
        <f>15231/1.13</f>
        <v>13478.7610619469</v>
      </c>
      <c r="H421" s="90">
        <f t="shared" si="23"/>
        <v>74740</v>
      </c>
      <c r="I421" s="90">
        <f t="shared" si="24"/>
        <v>67393.8053097345</v>
      </c>
      <c r="J421" s="108" t="s">
        <v>686</v>
      </c>
    </row>
    <row r="422" ht="24" spans="1:10">
      <c r="A422" s="101">
        <v>31</v>
      </c>
      <c r="B422" s="103" t="s">
        <v>731</v>
      </c>
      <c r="C422" s="104" t="s">
        <v>732</v>
      </c>
      <c r="D422" s="105" t="s">
        <v>13</v>
      </c>
      <c r="E422" s="90">
        <v>4</v>
      </c>
      <c r="F422" s="90">
        <v>9195.2</v>
      </c>
      <c r="G422" s="90">
        <f>8385/1.13</f>
        <v>7420.35398230089</v>
      </c>
      <c r="H422" s="90">
        <f t="shared" si="23"/>
        <v>36780.8</v>
      </c>
      <c r="I422" s="90">
        <f t="shared" si="24"/>
        <v>29681.4159292035</v>
      </c>
      <c r="J422" s="108" t="s">
        <v>686</v>
      </c>
    </row>
    <row r="423" ht="22.5" spans="1:10">
      <c r="A423" s="101">
        <v>32</v>
      </c>
      <c r="B423" s="107" t="s">
        <v>733</v>
      </c>
      <c r="C423" s="104" t="s">
        <v>734</v>
      </c>
      <c r="D423" s="105" t="s">
        <v>13</v>
      </c>
      <c r="E423" s="90">
        <v>2</v>
      </c>
      <c r="F423" s="90">
        <v>7620</v>
      </c>
      <c r="G423" s="90">
        <f>51450/1.13</f>
        <v>45530.9734513274</v>
      </c>
      <c r="H423" s="90">
        <f t="shared" si="23"/>
        <v>15240</v>
      </c>
      <c r="I423" s="90">
        <f t="shared" si="24"/>
        <v>91061.9469026549</v>
      </c>
      <c r="J423" s="108" t="s">
        <v>686</v>
      </c>
    </row>
  </sheetData>
  <mergeCells count="15">
    <mergeCell ref="A1:J1"/>
    <mergeCell ref="A2:J2"/>
    <mergeCell ref="A3:J3"/>
    <mergeCell ref="F5:G5"/>
    <mergeCell ref="H5:I5"/>
    <mergeCell ref="A5:A6"/>
    <mergeCell ref="A158:A159"/>
    <mergeCell ref="B5:B6"/>
    <mergeCell ref="B356:B359"/>
    <mergeCell ref="C5:C6"/>
    <mergeCell ref="D5:D6"/>
    <mergeCell ref="D158:D159"/>
    <mergeCell ref="E5:E6"/>
    <mergeCell ref="J5:J6"/>
    <mergeCell ref="J158:J159"/>
  </mergeCells>
  <printOptions horizontalCentered="1"/>
  <pageMargins left="0.751388888888889" right="0.554861111111111" top="0.802777777777778" bottom="0.802777777777778" header="0.5" footer="0.5"/>
  <pageSetup paperSize="9" orientation="landscape" horizontalDpi="600"/>
  <headerFooter>
    <oddFooter>&amp;C&amp;P/&amp;N</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询价表（定）</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尐李_❤</cp:lastModifiedBy>
  <dcterms:created xsi:type="dcterms:W3CDTF">2022-02-24T03:37:37Z</dcterms:created>
  <dcterms:modified xsi:type="dcterms:W3CDTF">2022-02-24T03:46:02Z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17AB0F9312994AD1A764F7CD861E8253</vt:lpwstr>
  </property>
  <property fmtid="{D5CDD505-2E9C-101B-9397-08002B2CF9AE}" pid="3" name="KSOProductBuildVer">
    <vt:lpwstr>2052-11.1.0.11365</vt:lpwstr>
  </property>
</Properties>
</file>